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édio Administrativo\Licitação\Dados Privados\Pregão Eletrônico\2023\PE 0172023 LIXO\"/>
    </mc:Choice>
  </mc:AlternateContent>
  <xr:revisionPtr revIDLastSave="0" documentId="13_ncr:1_{A94A590D-432E-473A-A67A-B6A5C24D6046}" xr6:coauthVersionLast="47" xr6:coauthVersionMax="47" xr10:uidLastSave="{00000000-0000-0000-0000-000000000000}"/>
  <bookViews>
    <workbookView xWindow="-120" yWindow="-120" windowWidth="29040" windowHeight="15840" tabRatio="802" activeTab="6" xr2:uid="{00000000-000D-0000-FFFF-FFFF00000000}"/>
  </bookViews>
  <sheets>
    <sheet name="Orçamento" sheetId="14" r:id="rId1"/>
    <sheet name="Cronograma" sheetId="16" r:id="rId2"/>
    <sheet name="1.1.Coletadomiciliarurbana not" sheetId="11" r:id="rId3"/>
    <sheet name="1.2.Coletadomiciliarurbana diur" sheetId="27" r:id="rId4"/>
    <sheet name="1.3.Coletadomiciliarurbana mat" sheetId="18" r:id="rId5"/>
    <sheet name="1.4.Coletadomiciliarrural matu" sheetId="15" r:id="rId6"/>
    <sheet name="1.5.Estação de transbordo" sheetId="12" r:id="rId7"/>
    <sheet name="1.6.Central Triagem " sheetId="19" r:id="rId8"/>
    <sheet name="Planilha3" sheetId="31" r:id="rId9"/>
    <sheet name="Planilha4" sheetId="32" r:id="rId10"/>
    <sheet name="1.7.Destino final" sheetId="13" r:id="rId11"/>
    <sheet name="2.Encargos Sociais" sheetId="8" r:id="rId12"/>
    <sheet name="3.CAGED" sheetId="5" r:id="rId13"/>
    <sheet name="4.BDI" sheetId="4" r:id="rId14"/>
    <sheet name="5. Depreciação" sheetId="6" r:id="rId15"/>
    <sheet name="6.Remuneração de capital" sheetId="7" r:id="rId16"/>
    <sheet name="7. Dimensionamento" sheetId="9" r:id="rId17"/>
    <sheet name="Media toneladas coletadas" sheetId="28" r:id="rId18"/>
    <sheet name="Media Km Executados" sheetId="26" r:id="rId19"/>
  </sheets>
  <externalReferences>
    <externalReference r:id="rId20"/>
    <externalReference r:id="rId21"/>
  </externalReferences>
  <definedNames>
    <definedName name="AbaDeprec">'5. Depreciação'!$A$1</definedName>
    <definedName name="AbaRemun">'6.Remuneração de capital'!$A$1</definedName>
    <definedName name="_xlnm.Print_Area" localSheetId="2">'1.1.Coletadomiciliarurbana not'!$A$1:$F$256</definedName>
    <definedName name="_xlnm.Print_Area" localSheetId="5">'1.4.Coletadomiciliarrural matu'!$A$1:$F$242</definedName>
    <definedName name="_xlnm.Print_Area" localSheetId="6">'1.5.Estação de transbordo'!$A$1:$F$219</definedName>
    <definedName name="_xlnm.Print_Area" localSheetId="10">'1.7.Destino final'!$A$1:$F$244</definedName>
    <definedName name="_xlnm.Print_Area" localSheetId="11">'2.Encargos Sociais'!$A$1:$C$36</definedName>
    <definedName name="_xlnm.Print_Area" localSheetId="1">Cronograma!$A$1:$P$15</definedName>
    <definedName name="_xlnm.Print_Area" localSheetId="0">Orçamento!$A$1:$F$76</definedName>
    <definedName name="_xlnm.Print_Titles" localSheetId="2">'1.1.Coletadomiciliarurbana not'!$1:$3</definedName>
    <definedName name="_xlnm.Print_Titles" localSheetId="5">'1.4.Coletadomiciliarrural matu'!$1:$3</definedName>
    <definedName name="_xlnm.Print_Titles" localSheetId="6">'1.5.Estação de transbordo'!$1:$3</definedName>
    <definedName name="_xlnm.Print_Titles" localSheetId="10">'1.7.Destino final'!$1:$3</definedName>
    <definedName name="_xlnm.Print_Titles" localSheetId="1">Cronograma!$1:$2</definedName>
    <definedName name="_xlnm.Print_Titles" localSheetId="0">Orçamento!$1:$2</definedName>
  </definedNames>
  <calcPr calcId="191029"/>
</workbook>
</file>

<file path=xl/calcChain.xml><?xml version="1.0" encoding="utf-8"?>
<calcChain xmlns="http://schemas.openxmlformats.org/spreadsheetml/2006/main">
  <c r="C27" i="26" l="1"/>
  <c r="C25" i="26"/>
  <c r="E71" i="14"/>
  <c r="E70" i="14"/>
  <c r="E11" i="14"/>
  <c r="E11" i="27"/>
  <c r="E10" i="14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13" i="14"/>
  <c r="A84" i="12"/>
  <c r="E48" i="12"/>
  <c r="D163" i="13"/>
  <c r="D145" i="12"/>
  <c r="D167" i="15"/>
  <c r="D167" i="18"/>
  <c r="D167" i="27"/>
  <c r="D181" i="11"/>
  <c r="E189" i="12"/>
  <c r="E228" i="11"/>
  <c r="E227" i="11"/>
  <c r="E226" i="11"/>
  <c r="E225" i="11"/>
  <c r="E224" i="11"/>
  <c r="E214" i="27"/>
  <c r="E213" i="27"/>
  <c r="E212" i="27"/>
  <c r="E211" i="27"/>
  <c r="E210" i="27"/>
  <c r="E214" i="18"/>
  <c r="E213" i="18"/>
  <c r="E212" i="18"/>
  <c r="E211" i="18"/>
  <c r="E210" i="18"/>
  <c r="E214" i="15"/>
  <c r="E213" i="15"/>
  <c r="E212" i="15"/>
  <c r="E211" i="15"/>
  <c r="E210" i="15"/>
  <c r="E188" i="12"/>
  <c r="E190" i="12"/>
  <c r="E191" i="12"/>
  <c r="E187" i="12"/>
  <c r="E229" i="19"/>
  <c r="E230" i="19"/>
  <c r="E228" i="19"/>
  <c r="E207" i="13"/>
  <c r="E208" i="13"/>
  <c r="E209" i="13"/>
  <c r="E206" i="13"/>
  <c r="A11" i="14"/>
  <c r="D72" i="13"/>
  <c r="C77" i="13"/>
  <c r="D57" i="13"/>
  <c r="E57" i="13" s="1"/>
  <c r="D58" i="13" s="1"/>
  <c r="E58" i="13" s="1"/>
  <c r="D70" i="19"/>
  <c r="D56" i="19"/>
  <c r="E56" i="19" s="1"/>
  <c r="D57" i="19" s="1"/>
  <c r="E57" i="19" s="1"/>
  <c r="D59" i="12"/>
  <c r="D62" i="15"/>
  <c r="D48" i="18"/>
  <c r="D61" i="18"/>
  <c r="D61" i="27"/>
  <c r="E62" i="15"/>
  <c r="D63" i="15" s="1"/>
  <c r="E63" i="15" s="1"/>
  <c r="E61" i="18"/>
  <c r="D62" i="18" s="1"/>
  <c r="E62" i="18" s="1"/>
  <c r="D48" i="27"/>
  <c r="E70" i="19"/>
  <c r="D71" i="19" s="1"/>
  <c r="E71" i="19" s="1"/>
  <c r="E59" i="12"/>
  <c r="D60" i="12" s="1"/>
  <c r="E60" i="12" s="1"/>
  <c r="D48" i="15"/>
  <c r="E48" i="27"/>
  <c r="A171" i="12" l="1"/>
  <c r="A166" i="12"/>
  <c r="D164" i="12"/>
  <c r="D162" i="12"/>
  <c r="D160" i="12"/>
  <c r="D158" i="12"/>
  <c r="D156" i="12"/>
  <c r="C156" i="12"/>
  <c r="C162" i="12" s="1"/>
  <c r="E162" i="12" s="1"/>
  <c r="E51" i="27"/>
  <c r="D62" i="27"/>
  <c r="E62" i="27" s="1"/>
  <c r="E61" i="27"/>
  <c r="D165" i="12" l="1"/>
  <c r="C160" i="12"/>
  <c r="E160" i="12" s="1"/>
  <c r="E156" i="12"/>
  <c r="C170" i="12"/>
  <c r="E170" i="12" s="1"/>
  <c r="F171" i="12" s="1"/>
  <c r="C158" i="12"/>
  <c r="E158" i="12" s="1"/>
  <c r="C164" i="12"/>
  <c r="E164" i="12" s="1"/>
  <c r="C52" i="11"/>
  <c r="C18" i="9"/>
  <c r="C19" i="9" s="1"/>
  <c r="F166" i="12" l="1"/>
  <c r="C14" i="9" l="1"/>
  <c r="B20" i="28"/>
  <c r="B19" i="28"/>
  <c r="C11" i="9"/>
  <c r="C110" i="27" l="1"/>
  <c r="C88" i="27"/>
  <c r="E88" i="27" s="1"/>
  <c r="C81" i="27"/>
  <c r="C76" i="27"/>
  <c r="C75" i="27"/>
  <c r="C89" i="11"/>
  <c r="C90" i="11"/>
  <c r="A236" i="27"/>
  <c r="E226" i="27"/>
  <c r="A226" i="27"/>
  <c r="C222" i="27"/>
  <c r="E222" i="27" s="1"/>
  <c r="D223" i="27" s="1"/>
  <c r="E223" i="27" s="1"/>
  <c r="E215" i="27"/>
  <c r="A202" i="27"/>
  <c r="C201" i="27"/>
  <c r="C199" i="27"/>
  <c r="E199" i="27" s="1"/>
  <c r="E197" i="27"/>
  <c r="A193" i="27"/>
  <c r="A188" i="27"/>
  <c r="D186" i="27"/>
  <c r="D184" i="27"/>
  <c r="D182" i="27"/>
  <c r="D180" i="27"/>
  <c r="D178" i="27"/>
  <c r="C178" i="27"/>
  <c r="C186" i="27" s="1"/>
  <c r="E170" i="27"/>
  <c r="A170" i="27"/>
  <c r="E168" i="27"/>
  <c r="E167" i="27"/>
  <c r="C166" i="27"/>
  <c r="E166" i="27" s="1"/>
  <c r="E162" i="27"/>
  <c r="A162" i="27"/>
  <c r="C161" i="27"/>
  <c r="C156" i="27"/>
  <c r="D155" i="27"/>
  <c r="E155" i="27" s="1"/>
  <c r="D150" i="27"/>
  <c r="E150" i="27" s="1"/>
  <c r="E146" i="27"/>
  <c r="A146" i="27"/>
  <c r="C143" i="27"/>
  <c r="C139" i="27"/>
  <c r="E139" i="27" s="1"/>
  <c r="C138" i="27"/>
  <c r="C137" i="27"/>
  <c r="E134" i="27"/>
  <c r="E124" i="27"/>
  <c r="E122" i="27"/>
  <c r="E121" i="27"/>
  <c r="E120" i="27"/>
  <c r="E119" i="27"/>
  <c r="E118" i="27"/>
  <c r="E117" i="27"/>
  <c r="E116" i="27"/>
  <c r="E111" i="27"/>
  <c r="E109" i="27"/>
  <c r="E108" i="27"/>
  <c r="E107" i="27"/>
  <c r="E106" i="27"/>
  <c r="E105" i="27"/>
  <c r="E104" i="27"/>
  <c r="E103" i="27"/>
  <c r="E102" i="27"/>
  <c r="E101" i="27"/>
  <c r="E100" i="27"/>
  <c r="E99" i="27"/>
  <c r="E90" i="27"/>
  <c r="E84" i="27"/>
  <c r="A82" i="27"/>
  <c r="A89" i="27" s="1"/>
  <c r="A81" i="27"/>
  <c r="A88" i="27" s="1"/>
  <c r="E69" i="27"/>
  <c r="C66" i="27"/>
  <c r="E59" i="27"/>
  <c r="D76" i="27" s="1"/>
  <c r="E55" i="27"/>
  <c r="C52" i="27"/>
  <c r="E47" i="27"/>
  <c r="D75" i="27" s="1"/>
  <c r="A38" i="27"/>
  <c r="E34" i="27"/>
  <c r="E35" i="27" s="1"/>
  <c r="A34" i="27"/>
  <c r="A33" i="27"/>
  <c r="A27" i="27"/>
  <c r="A26" i="27"/>
  <c r="A25" i="27"/>
  <c r="A24" i="27"/>
  <c r="A34" i="14" s="1"/>
  <c r="A23" i="27"/>
  <c r="A33" i="14" s="1"/>
  <c r="A22" i="27"/>
  <c r="A32" i="14" s="1"/>
  <c r="A21" i="27"/>
  <c r="A31" i="14" s="1"/>
  <c r="A20" i="27"/>
  <c r="A30" i="14" s="1"/>
  <c r="A19" i="27"/>
  <c r="A29" i="14" s="1"/>
  <c r="A18" i="27"/>
  <c r="A28" i="14" s="1"/>
  <c r="A17" i="27"/>
  <c r="A16" i="27"/>
  <c r="A15" i="27"/>
  <c r="A14" i="27"/>
  <c r="A13" i="27"/>
  <c r="A12" i="27"/>
  <c r="A11" i="27"/>
  <c r="A10" i="27"/>
  <c r="A18" i="18"/>
  <c r="A24" i="19"/>
  <c r="A62" i="14" s="1"/>
  <c r="A23" i="19"/>
  <c r="A61" i="14" s="1"/>
  <c r="A22" i="19"/>
  <c r="A60" i="14" s="1"/>
  <c r="A21" i="19"/>
  <c r="A59" i="14" s="1"/>
  <c r="A25" i="19"/>
  <c r="A26" i="19"/>
  <c r="A27" i="19"/>
  <c r="A17" i="19"/>
  <c r="A18" i="19"/>
  <c r="A56" i="14" s="1"/>
  <c r="A19" i="19"/>
  <c r="A20" i="19"/>
  <c r="D168" i="19"/>
  <c r="E168" i="19" s="1"/>
  <c r="E242" i="19"/>
  <c r="E231" i="19"/>
  <c r="E186" i="19"/>
  <c r="E180" i="19"/>
  <c r="A252" i="19"/>
  <c r="A242" i="19"/>
  <c r="C240" i="19"/>
  <c r="E240" i="19" s="1"/>
  <c r="D241" i="19" s="1"/>
  <c r="E241" i="19" s="1"/>
  <c r="E238" i="19"/>
  <c r="D239" i="19" s="1"/>
  <c r="E239" i="19" s="1"/>
  <c r="A231" i="19"/>
  <c r="A220" i="19"/>
  <c r="C219" i="19"/>
  <c r="E217" i="19"/>
  <c r="E216" i="19"/>
  <c r="E214" i="19"/>
  <c r="E213" i="19"/>
  <c r="A209" i="19"/>
  <c r="A204" i="19"/>
  <c r="D202" i="19"/>
  <c r="D200" i="19"/>
  <c r="D198" i="19"/>
  <c r="D196" i="19"/>
  <c r="D194" i="19"/>
  <c r="C194" i="19"/>
  <c r="C202" i="19" s="1"/>
  <c r="A186" i="19"/>
  <c r="D184" i="19"/>
  <c r="E159" i="19"/>
  <c r="C151" i="19"/>
  <c r="E147" i="19"/>
  <c r="D150" i="19" s="1"/>
  <c r="C89" i="27" l="1"/>
  <c r="D49" i="27"/>
  <c r="E49" i="27" s="1"/>
  <c r="D50" i="27" s="1"/>
  <c r="E50" i="27" s="1"/>
  <c r="C82" i="27"/>
  <c r="E82" i="27" s="1"/>
  <c r="C123" i="27"/>
  <c r="E186" i="27"/>
  <c r="D200" i="27"/>
  <c r="E200" i="27" s="1"/>
  <c r="D201" i="27" s="1"/>
  <c r="E201" i="27" s="1"/>
  <c r="F202" i="27" s="1"/>
  <c r="E24" i="27" s="1"/>
  <c r="E34" i="14" s="1"/>
  <c r="F215" i="27"/>
  <c r="F217" i="27" s="1"/>
  <c r="E25" i="27" s="1"/>
  <c r="E75" i="27"/>
  <c r="E76" i="27"/>
  <c r="C152" i="27"/>
  <c r="D169" i="27"/>
  <c r="E169" i="27" s="1"/>
  <c r="F170" i="27" s="1"/>
  <c r="E21" i="27" s="1"/>
  <c r="E31" i="14" s="1"/>
  <c r="D187" i="27"/>
  <c r="C182" i="27"/>
  <c r="E182" i="27" s="1"/>
  <c r="D110" i="27"/>
  <c r="D123" i="27"/>
  <c r="E178" i="27"/>
  <c r="C184" i="27"/>
  <c r="E184" i="27" s="1"/>
  <c r="C192" i="27"/>
  <c r="E192" i="27" s="1"/>
  <c r="F193" i="27" s="1"/>
  <c r="E23" i="27" s="1"/>
  <c r="E33" i="14" s="1"/>
  <c r="D64" i="27"/>
  <c r="E64" i="27" s="1"/>
  <c r="E65" i="27" s="1"/>
  <c r="E81" i="27"/>
  <c r="E89" i="27"/>
  <c r="F90" i="27" s="1"/>
  <c r="D137" i="27"/>
  <c r="E137" i="27" s="1"/>
  <c r="D138" i="27" s="1"/>
  <c r="E138" i="27" s="1"/>
  <c r="D142" i="27"/>
  <c r="C180" i="27"/>
  <c r="E180" i="27" s="1"/>
  <c r="C142" i="27"/>
  <c r="C157" i="27" s="1"/>
  <c r="C224" i="27"/>
  <c r="E224" i="27" s="1"/>
  <c r="D225" i="27" s="1"/>
  <c r="E225" i="27" s="1"/>
  <c r="F226" i="27" s="1"/>
  <c r="F228" i="27" s="1"/>
  <c r="E26" i="27" s="1"/>
  <c r="D203" i="19"/>
  <c r="E202" i="19"/>
  <c r="F242" i="19"/>
  <c r="F231" i="19"/>
  <c r="D218" i="19"/>
  <c r="E218" i="19" s="1"/>
  <c r="D219" i="19" s="1"/>
  <c r="E219" i="19" s="1"/>
  <c r="F220" i="19" s="1"/>
  <c r="E24" i="19" s="1"/>
  <c r="E62" i="14" s="1"/>
  <c r="C200" i="19"/>
  <c r="E200" i="19" s="1"/>
  <c r="E194" i="19"/>
  <c r="C198" i="19"/>
  <c r="E198" i="19" s="1"/>
  <c r="C208" i="19"/>
  <c r="E208" i="19" s="1"/>
  <c r="F209" i="19" s="1"/>
  <c r="E23" i="19" s="1"/>
  <c r="E61" i="14" s="1"/>
  <c r="C196" i="19"/>
  <c r="E196" i="19" s="1"/>
  <c r="F244" i="19" l="1"/>
  <c r="E26" i="19"/>
  <c r="F233" i="19"/>
  <c r="E25" i="19"/>
  <c r="E83" i="27"/>
  <c r="F84" i="27" s="1"/>
  <c r="E14" i="27" s="1"/>
  <c r="F77" i="27"/>
  <c r="E13" i="27" s="1"/>
  <c r="F188" i="27"/>
  <c r="E22" i="27" s="1"/>
  <c r="E32" i="14" s="1"/>
  <c r="D66" i="27"/>
  <c r="E66" i="27" s="1"/>
  <c r="E67" i="27" s="1"/>
  <c r="D68" i="27" s="1"/>
  <c r="E68" i="27" s="1"/>
  <c r="E123" i="27"/>
  <c r="F124" i="27" s="1"/>
  <c r="E110" i="27"/>
  <c r="F111" i="27" s="1"/>
  <c r="E15" i="27"/>
  <c r="D52" i="27"/>
  <c r="E52" i="27" s="1"/>
  <c r="E53" i="27" s="1"/>
  <c r="D54" i="27" s="1"/>
  <c r="E54" i="27" s="1"/>
  <c r="F55" i="27" s="1"/>
  <c r="E142" i="27"/>
  <c r="F204" i="19"/>
  <c r="E22" i="19" s="1"/>
  <c r="E60" i="14" s="1"/>
  <c r="F69" i="27" l="1"/>
  <c r="E12" i="27" s="1"/>
  <c r="F126" i="27"/>
  <c r="E16" i="27" s="1"/>
  <c r="D143" i="27"/>
  <c r="E143" i="27" s="1"/>
  <c r="E144" i="27" s="1"/>
  <c r="D145" i="27" s="1"/>
  <c r="E145" i="27" s="1"/>
  <c r="F146" i="27" s="1"/>
  <c r="C153" i="27"/>
  <c r="D154" i="27" s="1"/>
  <c r="E154" i="27" s="1"/>
  <c r="C158" i="27"/>
  <c r="D159" i="27" s="1"/>
  <c r="E159" i="27" s="1"/>
  <c r="E158" i="13"/>
  <c r="E132" i="13"/>
  <c r="E10" i="27" l="1"/>
  <c r="F92" i="27"/>
  <c r="E19" i="27"/>
  <c r="E160" i="27"/>
  <c r="D161" i="27" s="1"/>
  <c r="E161" i="27" s="1"/>
  <c r="F162" i="27" s="1"/>
  <c r="E20" i="27" s="1"/>
  <c r="E30" i="14" s="1"/>
  <c r="E160" i="11"/>
  <c r="C151" i="11"/>
  <c r="C156" i="11" s="1"/>
  <c r="A160" i="11"/>
  <c r="C157" i="11"/>
  <c r="C153" i="11"/>
  <c r="E153" i="11" s="1"/>
  <c r="C152" i="11"/>
  <c r="E148" i="11"/>
  <c r="D151" i="11" s="1"/>
  <c r="C113" i="13"/>
  <c r="A132" i="13"/>
  <c r="C129" i="13"/>
  <c r="E125" i="13"/>
  <c r="D128" i="13" s="1"/>
  <c r="C124" i="13"/>
  <c r="E120" i="13"/>
  <c r="D123" i="13" s="1"/>
  <c r="C119" i="13"/>
  <c r="E115" i="13"/>
  <c r="D118" i="13" s="1"/>
  <c r="C114" i="13"/>
  <c r="E110" i="13"/>
  <c r="D113" i="13" s="1"/>
  <c r="A158" i="13"/>
  <c r="C157" i="13"/>
  <c r="A157" i="13"/>
  <c r="C152" i="13"/>
  <c r="D151" i="13"/>
  <c r="C151" i="13"/>
  <c r="C147" i="13"/>
  <c r="C146" i="13"/>
  <c r="E146" i="13" s="1"/>
  <c r="C142" i="13"/>
  <c r="D141" i="13"/>
  <c r="E141" i="13" s="1"/>
  <c r="D136" i="13"/>
  <c r="E136" i="13" s="1"/>
  <c r="E176" i="11"/>
  <c r="A176" i="11"/>
  <c r="C175" i="11"/>
  <c r="C170" i="11"/>
  <c r="D169" i="11"/>
  <c r="E169" i="11" s="1"/>
  <c r="D164" i="11"/>
  <c r="E164" i="11" s="1"/>
  <c r="E18" i="27" l="1"/>
  <c r="E17" i="27" s="1"/>
  <c r="E29" i="14"/>
  <c r="E28" i="14" s="1"/>
  <c r="D156" i="11"/>
  <c r="E156" i="11" s="1"/>
  <c r="D157" i="11" s="1"/>
  <c r="E157" i="11" s="1"/>
  <c r="C171" i="11"/>
  <c r="F205" i="27"/>
  <c r="F230" i="27" s="1"/>
  <c r="E151" i="13"/>
  <c r="C138" i="13"/>
  <c r="E151" i="11"/>
  <c r="D152" i="11" s="1"/>
  <c r="E152" i="11" s="1"/>
  <c r="C166" i="11"/>
  <c r="C118" i="13"/>
  <c r="C143" i="13" s="1"/>
  <c r="E113" i="13"/>
  <c r="D114" i="13" s="1"/>
  <c r="E114" i="13" s="1"/>
  <c r="C172" i="11" l="1"/>
  <c r="D173" i="11" s="1"/>
  <c r="E173" i="11" s="1"/>
  <c r="D235" i="27"/>
  <c r="E158" i="11"/>
  <c r="D159" i="11" s="1"/>
  <c r="E159" i="11" s="1"/>
  <c r="F160" i="11" s="1"/>
  <c r="E19" i="11" s="1"/>
  <c r="C167" i="11"/>
  <c r="D168" i="11" s="1"/>
  <c r="E168" i="11" s="1"/>
  <c r="C123" i="13"/>
  <c r="C148" i="13" s="1"/>
  <c r="E118" i="13"/>
  <c r="C128" i="13" l="1"/>
  <c r="E128" i="13" s="1"/>
  <c r="E123" i="13"/>
  <c r="D124" i="13" s="1"/>
  <c r="E124" i="13" s="1"/>
  <c r="E174" i="11"/>
  <c r="D175" i="11" s="1"/>
  <c r="E175" i="11" s="1"/>
  <c r="F176" i="11" s="1"/>
  <c r="E20" i="11" s="1"/>
  <c r="D119" i="13"/>
  <c r="E119" i="13" s="1"/>
  <c r="C139" i="13"/>
  <c r="D140" i="13" s="1"/>
  <c r="E140" i="13" s="1"/>
  <c r="C153" i="13"/>
  <c r="C154" i="13" l="1"/>
  <c r="D155" i="13" s="1"/>
  <c r="E155" i="13" s="1"/>
  <c r="D129" i="13"/>
  <c r="E129" i="13" s="1"/>
  <c r="E130" i="13" s="1"/>
  <c r="D131" i="13" s="1"/>
  <c r="E131" i="13" s="1"/>
  <c r="F132" i="13" s="1"/>
  <c r="C144" i="13"/>
  <c r="D145" i="13" s="1"/>
  <c r="E145" i="13" s="1"/>
  <c r="C149" i="13"/>
  <c r="D150" i="13" s="1"/>
  <c r="E150" i="13" s="1"/>
  <c r="E156" i="13" l="1"/>
  <c r="D157" i="13" s="1"/>
  <c r="E157" i="13" s="1"/>
  <c r="F158" i="13" s="1"/>
  <c r="C145" i="19" l="1"/>
  <c r="C150" i="19" s="1"/>
  <c r="E150" i="19" s="1"/>
  <c r="D151" i="19" s="1"/>
  <c r="E151" i="19" s="1"/>
  <c r="C12" i="26" l="1"/>
  <c r="D12" i="26"/>
  <c r="E12" i="26"/>
  <c r="B12" i="26"/>
  <c r="B13" i="26" s="1"/>
  <c r="E33" i="26" s="1"/>
  <c r="E25" i="26"/>
  <c r="E27" i="26" s="1"/>
  <c r="E30" i="26" s="1"/>
  <c r="D25" i="26"/>
  <c r="D27" i="26" s="1"/>
  <c r="D30" i="26" s="1"/>
  <c r="C30" i="26"/>
  <c r="B25" i="26"/>
  <c r="B27" i="26" s="1"/>
  <c r="C10" i="26"/>
  <c r="D10" i="26"/>
  <c r="E10" i="26"/>
  <c r="B10" i="26"/>
  <c r="C155" i="19"/>
  <c r="A180" i="19"/>
  <c r="C179" i="19"/>
  <c r="C184" i="19" s="1"/>
  <c r="E184" i="19" s="1"/>
  <c r="D185" i="19" s="1"/>
  <c r="E185" i="19" s="1"/>
  <c r="F186" i="19" s="1"/>
  <c r="E21" i="19" s="1"/>
  <c r="E59" i="14" s="1"/>
  <c r="C174" i="19"/>
  <c r="D173" i="19"/>
  <c r="E173" i="19" s="1"/>
  <c r="D163" i="19"/>
  <c r="E163" i="19" s="1"/>
  <c r="A159" i="19"/>
  <c r="C156" i="19"/>
  <c r="E152" i="19"/>
  <c r="C146" i="19"/>
  <c r="E142" i="19"/>
  <c r="E132" i="19"/>
  <c r="A132" i="19"/>
  <c r="C131" i="19"/>
  <c r="E130" i="19"/>
  <c r="E129" i="19"/>
  <c r="E128" i="19"/>
  <c r="E127" i="19"/>
  <c r="E126" i="19"/>
  <c r="E125" i="19"/>
  <c r="E124" i="19"/>
  <c r="E119" i="19"/>
  <c r="C118" i="19"/>
  <c r="E117" i="19"/>
  <c r="E116" i="19"/>
  <c r="E115" i="19"/>
  <c r="E114" i="19"/>
  <c r="E113" i="19"/>
  <c r="E112" i="19"/>
  <c r="E111" i="19"/>
  <c r="E110" i="19"/>
  <c r="E109" i="19"/>
  <c r="E108" i="19"/>
  <c r="E107" i="19"/>
  <c r="E98" i="19"/>
  <c r="A98" i="19"/>
  <c r="A93" i="19"/>
  <c r="C92" i="19"/>
  <c r="E92" i="19" s="1"/>
  <c r="A92" i="19"/>
  <c r="A97" i="19" s="1"/>
  <c r="C91" i="19"/>
  <c r="E91" i="19" s="1"/>
  <c r="A91" i="19"/>
  <c r="A87" i="19"/>
  <c r="C86" i="19"/>
  <c r="C85" i="19"/>
  <c r="E78" i="19"/>
  <c r="A78" i="19"/>
  <c r="C75" i="19"/>
  <c r="E68" i="19"/>
  <c r="D86" i="19" s="1"/>
  <c r="E64" i="19"/>
  <c r="A64" i="19"/>
  <c r="C61" i="19"/>
  <c r="E54" i="19"/>
  <c r="D85" i="19" s="1"/>
  <c r="E44" i="19"/>
  <c r="E38" i="19"/>
  <c r="A38" i="19"/>
  <c r="E34" i="19"/>
  <c r="C97" i="19" s="1"/>
  <c r="E97" i="19" s="1"/>
  <c r="A34" i="19"/>
  <c r="A33" i="19"/>
  <c r="A58" i="14"/>
  <c r="A57" i="14"/>
  <c r="A16" i="19"/>
  <c r="A15" i="19"/>
  <c r="A14" i="19"/>
  <c r="A13" i="19"/>
  <c r="A12" i="19"/>
  <c r="A15" i="14" s="1"/>
  <c r="A11" i="19"/>
  <c r="A14" i="14" s="1"/>
  <c r="A10" i="19"/>
  <c r="D118" i="19" l="1"/>
  <c r="E118" i="19" s="1"/>
  <c r="F119" i="19" s="1"/>
  <c r="B30" i="26"/>
  <c r="E34" i="26"/>
  <c r="E35" i="26" s="1"/>
  <c r="C170" i="19"/>
  <c r="F93" i="19"/>
  <c r="E14" i="19" s="1"/>
  <c r="C175" i="19"/>
  <c r="E85" i="19"/>
  <c r="C165" i="19"/>
  <c r="E86" i="19"/>
  <c r="F98" i="19"/>
  <c r="E15" i="19" s="1"/>
  <c r="D155" i="19"/>
  <c r="E155" i="19" s="1"/>
  <c r="D156" i="19" s="1"/>
  <c r="E156" i="19" s="1"/>
  <c r="E35" i="19"/>
  <c r="E131" i="19"/>
  <c r="F132" i="19" s="1"/>
  <c r="D59" i="19"/>
  <c r="E59" i="19" s="1"/>
  <c r="E60" i="19" s="1"/>
  <c r="D145" i="19"/>
  <c r="E145" i="19" s="1"/>
  <c r="D73" i="19"/>
  <c r="E73" i="19" s="1"/>
  <c r="E74" i="19" s="1"/>
  <c r="A18" i="15"/>
  <c r="C171" i="19" l="1"/>
  <c r="D172" i="19" s="1"/>
  <c r="E172" i="19" s="1"/>
  <c r="F87" i="19"/>
  <c r="E13" i="19" s="1"/>
  <c r="F134" i="19"/>
  <c r="E16" i="19" s="1"/>
  <c r="C176" i="19"/>
  <c r="D177" i="19" s="1"/>
  <c r="E177" i="19" s="1"/>
  <c r="D146" i="19"/>
  <c r="E146" i="19" s="1"/>
  <c r="C166" i="19"/>
  <c r="D167" i="19" s="1"/>
  <c r="E167" i="19" s="1"/>
  <c r="D61" i="19"/>
  <c r="E61" i="19" s="1"/>
  <c r="E62" i="19" s="1"/>
  <c r="D63" i="19" s="1"/>
  <c r="E63" i="19" s="1"/>
  <c r="F64" i="19" s="1"/>
  <c r="D75" i="19"/>
  <c r="E75" i="19" s="1"/>
  <c r="E76" i="19" s="1"/>
  <c r="D77" i="19" s="1"/>
  <c r="E77" i="19" s="1"/>
  <c r="F78" i="19" s="1"/>
  <c r="E12" i="19" s="1"/>
  <c r="E15" i="14" s="1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9" i="12"/>
  <c r="E39" i="12"/>
  <c r="E40" i="12" s="1"/>
  <c r="A43" i="12"/>
  <c r="E43" i="12"/>
  <c r="E57" i="12"/>
  <c r="D74" i="12" s="1"/>
  <c r="C64" i="12"/>
  <c r="A67" i="12"/>
  <c r="E67" i="12"/>
  <c r="C74" i="12"/>
  <c r="A75" i="12"/>
  <c r="A79" i="12"/>
  <c r="A80" i="12"/>
  <c r="A85" i="12"/>
  <c r="E85" i="12"/>
  <c r="E94" i="12"/>
  <c r="E95" i="12"/>
  <c r="E96" i="12"/>
  <c r="E97" i="12"/>
  <c r="E98" i="12"/>
  <c r="E99" i="12"/>
  <c r="E100" i="12"/>
  <c r="C101" i="12"/>
  <c r="A102" i="12"/>
  <c r="E102" i="12"/>
  <c r="E112" i="12"/>
  <c r="D115" i="12" s="1"/>
  <c r="C115" i="12"/>
  <c r="C130" i="12" s="1"/>
  <c r="C116" i="12"/>
  <c r="E117" i="12"/>
  <c r="D120" i="12" s="1"/>
  <c r="C120" i="12"/>
  <c r="C121" i="12"/>
  <c r="A124" i="12"/>
  <c r="E124" i="12"/>
  <c r="D128" i="12"/>
  <c r="E128" i="12" s="1"/>
  <c r="C133" i="12"/>
  <c r="D133" i="12"/>
  <c r="E133" i="12" s="1"/>
  <c r="A139" i="12"/>
  <c r="C139" i="12"/>
  <c r="A140" i="12"/>
  <c r="E140" i="12"/>
  <c r="E144" i="12"/>
  <c r="E145" i="12"/>
  <c r="E146" i="12"/>
  <c r="A148" i="12"/>
  <c r="E148" i="12"/>
  <c r="C178" i="12"/>
  <c r="E29" i="12"/>
  <c r="E174" i="12"/>
  <c r="C176" i="12"/>
  <c r="E176" i="12" s="1"/>
  <c r="A179" i="12"/>
  <c r="E192" i="12"/>
  <c r="E199" i="12"/>
  <c r="D200" i="12" s="1"/>
  <c r="E200" i="12" s="1"/>
  <c r="A203" i="12"/>
  <c r="E203" i="12"/>
  <c r="A213" i="12"/>
  <c r="D177" i="12" l="1"/>
  <c r="E177" i="12" s="1"/>
  <c r="D178" i="12" s="1"/>
  <c r="E178" i="12" s="1"/>
  <c r="F179" i="12" s="1"/>
  <c r="E30" i="12" s="1"/>
  <c r="E178" i="19"/>
  <c r="E157" i="19"/>
  <c r="D158" i="19" s="1"/>
  <c r="E158" i="19" s="1"/>
  <c r="F159" i="19" s="1"/>
  <c r="D179" i="19"/>
  <c r="E179" i="19" s="1"/>
  <c r="F180" i="19" s="1"/>
  <c r="E20" i="19" s="1"/>
  <c r="E58" i="14" s="1"/>
  <c r="E120" i="12"/>
  <c r="D121" i="12" s="1"/>
  <c r="E121" i="12" s="1"/>
  <c r="C79" i="12"/>
  <c r="E79" i="12" s="1"/>
  <c r="F80" i="12" s="1"/>
  <c r="E20" i="12" s="1"/>
  <c r="C84" i="12"/>
  <c r="E84" i="12" s="1"/>
  <c r="F85" i="12" s="1"/>
  <c r="E21" i="12" s="1"/>
  <c r="C201" i="12"/>
  <c r="E201" i="12" s="1"/>
  <c r="D202" i="12" s="1"/>
  <c r="E202" i="12" s="1"/>
  <c r="F203" i="12" s="1"/>
  <c r="F205" i="12" s="1"/>
  <c r="E32" i="12" s="1"/>
  <c r="E11" i="19"/>
  <c r="E14" i="14" s="1"/>
  <c r="F100" i="19"/>
  <c r="D147" i="12"/>
  <c r="E147" i="12" s="1"/>
  <c r="F148" i="12" s="1"/>
  <c r="E27" i="12" s="1"/>
  <c r="D101" i="12"/>
  <c r="E101" i="12" s="1"/>
  <c r="F102" i="12" s="1"/>
  <c r="F104" i="12" s="1"/>
  <c r="E22" i="12" s="1"/>
  <c r="F192" i="12"/>
  <c r="F194" i="12" s="1"/>
  <c r="E31" i="12" s="1"/>
  <c r="E74" i="12"/>
  <c r="F75" i="12" s="1"/>
  <c r="E19" i="12" s="1"/>
  <c r="D62" i="12"/>
  <c r="E62" i="12" s="1"/>
  <c r="E63" i="12" s="1"/>
  <c r="D64" i="12" s="1"/>
  <c r="E64" i="12" s="1"/>
  <c r="E65" i="12" s="1"/>
  <c r="D66" i="12" s="1"/>
  <c r="E66" i="12" s="1"/>
  <c r="F67" i="12" s="1"/>
  <c r="E115" i="12"/>
  <c r="D116" i="12" s="1"/>
  <c r="E116" i="12" s="1"/>
  <c r="C135" i="12"/>
  <c r="F223" i="19" l="1"/>
  <c r="E17" i="19" s="1"/>
  <c r="C136" i="12"/>
  <c r="D137" i="12" s="1"/>
  <c r="E137" i="12" s="1"/>
  <c r="E10" i="19"/>
  <c r="E19" i="19"/>
  <c r="E122" i="12"/>
  <c r="D123" i="12" s="1"/>
  <c r="E123" i="12" s="1"/>
  <c r="F124" i="12" s="1"/>
  <c r="E25" i="12" s="1"/>
  <c r="E28" i="12"/>
  <c r="E18" i="12"/>
  <c r="F87" i="12"/>
  <c r="C131" i="12"/>
  <c r="D132" i="12" s="1"/>
  <c r="E132" i="12" s="1"/>
  <c r="E138" i="12" l="1"/>
  <c r="D139" i="12" s="1"/>
  <c r="E139" i="12" s="1"/>
  <c r="F140" i="12" s="1"/>
  <c r="E26" i="12" s="1"/>
  <c r="E24" i="12" s="1"/>
  <c r="E57" i="14"/>
  <c r="E56" i="14" s="1"/>
  <c r="E18" i="19"/>
  <c r="F246" i="19"/>
  <c r="D251" i="19" s="1"/>
  <c r="F182" i="12"/>
  <c r="E23" i="12" s="1"/>
  <c r="E17" i="12"/>
  <c r="F207" i="12" l="1"/>
  <c r="D212" i="12" s="1"/>
  <c r="A35" i="14" l="1"/>
  <c r="A42" i="14"/>
  <c r="E229" i="11"/>
  <c r="E215" i="18"/>
  <c r="E215" i="15"/>
  <c r="E210" i="13"/>
  <c r="A240" i="11"/>
  <c r="C123" i="18"/>
  <c r="C110" i="18"/>
  <c r="C88" i="18"/>
  <c r="E88" i="18" s="1"/>
  <c r="C76" i="18"/>
  <c r="C75" i="18"/>
  <c r="C81" i="18"/>
  <c r="A236" i="18"/>
  <c r="E226" i="18"/>
  <c r="A226" i="18"/>
  <c r="C222" i="18"/>
  <c r="C224" i="18" s="1"/>
  <c r="E224" i="18" s="1"/>
  <c r="D225" i="18" s="1"/>
  <c r="E225" i="18" s="1"/>
  <c r="A202" i="18"/>
  <c r="C201" i="18"/>
  <c r="C199" i="18"/>
  <c r="E199" i="18" s="1"/>
  <c r="E197" i="18"/>
  <c r="A193" i="18"/>
  <c r="A188" i="18"/>
  <c r="D186" i="18"/>
  <c r="D184" i="18"/>
  <c r="D182" i="18"/>
  <c r="D180" i="18"/>
  <c r="D178" i="18"/>
  <c r="C178" i="18"/>
  <c r="C186" i="18" s="1"/>
  <c r="E170" i="18"/>
  <c r="A170" i="18"/>
  <c r="C168" i="18"/>
  <c r="E168" i="18" s="1"/>
  <c r="C167" i="18"/>
  <c r="E167" i="18" s="1"/>
  <c r="C166" i="18"/>
  <c r="E166" i="18" s="1"/>
  <c r="E162" i="18"/>
  <c r="A162" i="18"/>
  <c r="C161" i="18"/>
  <c r="D155" i="18"/>
  <c r="D150" i="18"/>
  <c r="E150" i="18" s="1"/>
  <c r="E146" i="18"/>
  <c r="A146" i="18"/>
  <c r="C143" i="18"/>
  <c r="C142" i="18"/>
  <c r="C139" i="18"/>
  <c r="C155" i="18" s="1"/>
  <c r="C138" i="18"/>
  <c r="C137" i="18"/>
  <c r="E134" i="18"/>
  <c r="D137" i="18" s="1"/>
  <c r="E124" i="18"/>
  <c r="E122" i="18"/>
  <c r="E121" i="18"/>
  <c r="E120" i="18"/>
  <c r="E119" i="18"/>
  <c r="E118" i="18"/>
  <c r="E117" i="18"/>
  <c r="E116" i="18"/>
  <c r="E111" i="18"/>
  <c r="E109" i="18"/>
  <c r="E108" i="18"/>
  <c r="E107" i="18"/>
  <c r="E106" i="18"/>
  <c r="E105" i="18"/>
  <c r="E104" i="18"/>
  <c r="E103" i="18"/>
  <c r="E102" i="18"/>
  <c r="E101" i="18"/>
  <c r="E100" i="18"/>
  <c r="E99" i="18"/>
  <c r="E90" i="18"/>
  <c r="E84" i="18"/>
  <c r="A82" i="18"/>
  <c r="A89" i="18" s="1"/>
  <c r="A81" i="18"/>
  <c r="A88" i="18" s="1"/>
  <c r="E69" i="18"/>
  <c r="C66" i="18"/>
  <c r="E59" i="18"/>
  <c r="D64" i="18" s="1"/>
  <c r="E64" i="18" s="1"/>
  <c r="E65" i="18" s="1"/>
  <c r="E55" i="18"/>
  <c r="C52" i="18"/>
  <c r="E48" i="18"/>
  <c r="D49" i="18" s="1"/>
  <c r="E49" i="18" s="1"/>
  <c r="E47" i="18"/>
  <c r="D75" i="18" s="1"/>
  <c r="E38" i="18"/>
  <c r="A38" i="18"/>
  <c r="E34" i="18"/>
  <c r="C82" i="18" s="1"/>
  <c r="A34" i="18"/>
  <c r="A33" i="18"/>
  <c r="A27" i="18"/>
  <c r="A26" i="18"/>
  <c r="A25" i="18"/>
  <c r="A24" i="18"/>
  <c r="A41" i="14" s="1"/>
  <c r="A23" i="18"/>
  <c r="A40" i="14" s="1"/>
  <c r="A22" i="18"/>
  <c r="A39" i="14" s="1"/>
  <c r="A21" i="18"/>
  <c r="A38" i="14" s="1"/>
  <c r="A20" i="18"/>
  <c r="A37" i="14" s="1"/>
  <c r="A19" i="18"/>
  <c r="A36" i="14" s="1"/>
  <c r="A17" i="18"/>
  <c r="A16" i="18"/>
  <c r="A15" i="18"/>
  <c r="A14" i="18"/>
  <c r="A13" i="18"/>
  <c r="A12" i="18"/>
  <c r="A11" i="18"/>
  <c r="A10" i="18"/>
  <c r="C89" i="18" l="1"/>
  <c r="F215" i="18"/>
  <c r="F217" i="18" s="1"/>
  <c r="E25" i="18" s="1"/>
  <c r="E82" i="18"/>
  <c r="E186" i="18"/>
  <c r="C184" i="18"/>
  <c r="E184" i="18" s="1"/>
  <c r="C192" i="18"/>
  <c r="E192" i="18" s="1"/>
  <c r="F193" i="18" s="1"/>
  <c r="E23" i="18" s="1"/>
  <c r="E40" i="14" s="1"/>
  <c r="C180" i="18"/>
  <c r="E180" i="18" s="1"/>
  <c r="E75" i="18"/>
  <c r="C152" i="18"/>
  <c r="E222" i="18"/>
  <c r="D223" i="18" s="1"/>
  <c r="E223" i="18" s="1"/>
  <c r="F226" i="18" s="1"/>
  <c r="F228" i="18" s="1"/>
  <c r="E26" i="18" s="1"/>
  <c r="D110" i="18"/>
  <c r="D123" i="18"/>
  <c r="E155" i="18"/>
  <c r="E178" i="18"/>
  <c r="C182" i="18"/>
  <c r="E182" i="18" s="1"/>
  <c r="D200" i="18"/>
  <c r="E200" i="18" s="1"/>
  <c r="D201" i="18" s="1"/>
  <c r="E201" i="18" s="1"/>
  <c r="F202" i="18" s="1"/>
  <c r="E24" i="18" s="1"/>
  <c r="E41" i="14" s="1"/>
  <c r="D66" i="18"/>
  <c r="E66" i="18" s="1"/>
  <c r="E67" i="18" s="1"/>
  <c r="D68" i="18" s="1"/>
  <c r="E68" i="18" s="1"/>
  <c r="F69" i="18" s="1"/>
  <c r="E12" i="18" s="1"/>
  <c r="D169" i="18"/>
  <c r="E169" i="18" s="1"/>
  <c r="F170" i="18" s="1"/>
  <c r="E21" i="18" s="1"/>
  <c r="E38" i="14" s="1"/>
  <c r="E139" i="18"/>
  <c r="C157" i="18" s="1"/>
  <c r="D187" i="18"/>
  <c r="D76" i="18"/>
  <c r="E76" i="18" s="1"/>
  <c r="E81" i="18"/>
  <c r="E83" i="18" s="1"/>
  <c r="F84" i="18" s="1"/>
  <c r="E14" i="18" s="1"/>
  <c r="E89" i="18"/>
  <c r="F90" i="18" s="1"/>
  <c r="E15" i="18" s="1"/>
  <c r="E35" i="18"/>
  <c r="D50" i="18"/>
  <c r="E50" i="18" s="1"/>
  <c r="E51" i="18" s="1"/>
  <c r="E137" i="18"/>
  <c r="D138" i="18" s="1"/>
  <c r="E138" i="18" s="1"/>
  <c r="F188" i="18" l="1"/>
  <c r="E22" i="18" s="1"/>
  <c r="E39" i="14" s="1"/>
  <c r="E123" i="18"/>
  <c r="F124" i="18" s="1"/>
  <c r="F77" i="18"/>
  <c r="E110" i="18"/>
  <c r="F111" i="18" s="1"/>
  <c r="D52" i="18"/>
  <c r="E52" i="18" s="1"/>
  <c r="E53" i="18" s="1"/>
  <c r="D54" i="18" s="1"/>
  <c r="E54" i="18" s="1"/>
  <c r="F55" i="18" s="1"/>
  <c r="E11" i="18" s="1"/>
  <c r="D142" i="18"/>
  <c r="E142" i="18" s="1"/>
  <c r="D143" i="18" s="1"/>
  <c r="E143" i="18" s="1"/>
  <c r="E144" i="18" s="1"/>
  <c r="D145" i="18" s="1"/>
  <c r="E145" i="18" s="1"/>
  <c r="F146" i="18" s="1"/>
  <c r="C153" i="18"/>
  <c r="D154" i="18" s="1"/>
  <c r="E154" i="18" s="1"/>
  <c r="E13" i="18" l="1"/>
  <c r="F92" i="18"/>
  <c r="F126" i="18"/>
  <c r="E16" i="18" s="1"/>
  <c r="E19" i="18"/>
  <c r="E36" i="14" s="1"/>
  <c r="C158" i="18"/>
  <c r="D159" i="18" s="1"/>
  <c r="E159" i="18" s="1"/>
  <c r="E160" i="18" s="1"/>
  <c r="D161" i="18" s="1"/>
  <c r="E161" i="18" s="1"/>
  <c r="F162" i="18" s="1"/>
  <c r="E10" i="18"/>
  <c r="E20" i="18" l="1"/>
  <c r="F205" i="18"/>
  <c r="F230" i="18" s="1"/>
  <c r="E18" i="18" l="1"/>
  <c r="E17" i="18" s="1"/>
  <c r="E37" i="14"/>
  <c r="E35" i="14" s="1"/>
  <c r="D235" i="18"/>
  <c r="C180" i="11" l="1"/>
  <c r="E70" i="15" l="1"/>
  <c r="C174" i="13" l="1"/>
  <c r="C192" i="11" l="1"/>
  <c r="C178" i="15"/>
  <c r="D246" i="13" l="1"/>
  <c r="D244" i="27" s="1"/>
  <c r="D258" i="11" l="1"/>
  <c r="D221" i="12"/>
  <c r="D244" i="18"/>
  <c r="D244" i="15"/>
  <c r="E98" i="11" l="1"/>
  <c r="D178" i="13"/>
  <c r="C178" i="13"/>
  <c r="C180" i="15" l="1"/>
  <c r="D178" i="15"/>
  <c r="E77" i="13"/>
  <c r="A45" i="13"/>
  <c r="A3" i="16" l="1"/>
  <c r="A4" i="16"/>
  <c r="B15" i="16"/>
  <c r="A73" i="14" l="1"/>
  <c r="B14" i="16" s="1"/>
  <c r="A72" i="14"/>
  <c r="B13" i="16" s="1"/>
  <c r="C23" i="4"/>
  <c r="B28" i="4" s="1"/>
  <c r="F21" i="4"/>
  <c r="E21" i="4"/>
  <c r="D21" i="4"/>
  <c r="E48" i="15"/>
  <c r="A34" i="13"/>
  <c r="A229" i="13"/>
  <c r="C77" i="15"/>
  <c r="C76" i="15"/>
  <c r="C237" i="13" l="1"/>
  <c r="A236" i="15"/>
  <c r="E226" i="15"/>
  <c r="A226" i="15"/>
  <c r="C222" i="15"/>
  <c r="C224" i="15" s="1"/>
  <c r="E224" i="15" s="1"/>
  <c r="D225" i="15" s="1"/>
  <c r="E225" i="15" s="1"/>
  <c r="A202" i="15"/>
  <c r="C201" i="15"/>
  <c r="C199" i="15"/>
  <c r="E199" i="15" s="1"/>
  <c r="E197" i="15"/>
  <c r="A193" i="15"/>
  <c r="A188" i="15"/>
  <c r="D186" i="15"/>
  <c r="D184" i="15"/>
  <c r="D182" i="15"/>
  <c r="D180" i="15"/>
  <c r="C184" i="15"/>
  <c r="E170" i="15"/>
  <c r="A170" i="15"/>
  <c r="C168" i="15"/>
  <c r="C167" i="15"/>
  <c r="C166" i="15"/>
  <c r="E162" i="15"/>
  <c r="A162" i="15"/>
  <c r="C161" i="15"/>
  <c r="D155" i="15"/>
  <c r="D150" i="15"/>
  <c r="E150" i="15" s="1"/>
  <c r="E146" i="15"/>
  <c r="A146" i="15"/>
  <c r="C143" i="15"/>
  <c r="C142" i="15"/>
  <c r="C139" i="15"/>
  <c r="E139" i="15" s="1"/>
  <c r="C138" i="15"/>
  <c r="C137" i="15"/>
  <c r="E134" i="15"/>
  <c r="E124" i="15"/>
  <c r="E122" i="15"/>
  <c r="E121" i="15"/>
  <c r="E120" i="15"/>
  <c r="E119" i="15"/>
  <c r="E118" i="15"/>
  <c r="E117" i="15"/>
  <c r="E116" i="15"/>
  <c r="E111" i="15"/>
  <c r="E109" i="15"/>
  <c r="E108" i="15"/>
  <c r="E107" i="15"/>
  <c r="E106" i="15"/>
  <c r="E105" i="15"/>
  <c r="E104" i="15"/>
  <c r="E103" i="15"/>
  <c r="E102" i="15"/>
  <c r="E101" i="15"/>
  <c r="E100" i="15"/>
  <c r="E99" i="15"/>
  <c r="E90" i="15"/>
  <c r="A83" i="15"/>
  <c r="A89" i="15" s="1"/>
  <c r="A82" i="15"/>
  <c r="A88" i="15" s="1"/>
  <c r="E60" i="15"/>
  <c r="E55" i="15"/>
  <c r="D49" i="15"/>
  <c r="E49" i="15" s="1"/>
  <c r="E47" i="15"/>
  <c r="D76" i="15" s="1"/>
  <c r="E38" i="15"/>
  <c r="A38" i="15"/>
  <c r="E34" i="15"/>
  <c r="A34" i="15"/>
  <c r="E33" i="15"/>
  <c r="A33" i="15"/>
  <c r="A27" i="15"/>
  <c r="A26" i="15"/>
  <c r="A25" i="15"/>
  <c r="A24" i="15"/>
  <c r="A48" i="14" s="1"/>
  <c r="A23" i="15"/>
  <c r="A47" i="14" s="1"/>
  <c r="A22" i="15"/>
  <c r="A46" i="14" s="1"/>
  <c r="A21" i="15"/>
  <c r="A45" i="14" s="1"/>
  <c r="A20" i="15"/>
  <c r="A44" i="14" s="1"/>
  <c r="A19" i="15"/>
  <c r="A43" i="14" s="1"/>
  <c r="A17" i="15"/>
  <c r="A16" i="15"/>
  <c r="A15" i="15"/>
  <c r="A14" i="15"/>
  <c r="A13" i="15"/>
  <c r="A12" i="15"/>
  <c r="A11" i="15"/>
  <c r="A10" i="15"/>
  <c r="E33" i="11"/>
  <c r="C124" i="11" l="1"/>
  <c r="C95" i="11"/>
  <c r="C102" i="11"/>
  <c r="F215" i="15"/>
  <c r="F217" i="15" s="1"/>
  <c r="E25" i="15" s="1"/>
  <c r="E167" i="15"/>
  <c r="C83" i="15"/>
  <c r="E83" i="15" s="1"/>
  <c r="C89" i="15"/>
  <c r="C123" i="15"/>
  <c r="C110" i="15"/>
  <c r="C82" i="15"/>
  <c r="E82" i="15" s="1"/>
  <c r="C88" i="15"/>
  <c r="E88" i="15" s="1"/>
  <c r="E178" i="15"/>
  <c r="C152" i="15"/>
  <c r="E168" i="15"/>
  <c r="E180" i="15"/>
  <c r="D137" i="15"/>
  <c r="E137" i="15" s="1"/>
  <c r="D77" i="15"/>
  <c r="E77" i="15" s="1"/>
  <c r="D123" i="15"/>
  <c r="D65" i="15"/>
  <c r="E65" i="15" s="1"/>
  <c r="E66" i="15" s="1"/>
  <c r="E184" i="15"/>
  <c r="E222" i="15"/>
  <c r="D223" i="15" s="1"/>
  <c r="E223" i="15" s="1"/>
  <c r="F226" i="15" s="1"/>
  <c r="F228" i="15" s="1"/>
  <c r="E26" i="15" s="1"/>
  <c r="D110" i="15"/>
  <c r="C182" i="15"/>
  <c r="E182" i="15" s="1"/>
  <c r="D200" i="15"/>
  <c r="E200" i="15" s="1"/>
  <c r="D201" i="15" s="1"/>
  <c r="E201" i="15" s="1"/>
  <c r="F202" i="15" s="1"/>
  <c r="E24" i="15" s="1"/>
  <c r="E48" i="14" s="1"/>
  <c r="E166" i="15"/>
  <c r="D187" i="15"/>
  <c r="C192" i="15"/>
  <c r="E192" i="15" s="1"/>
  <c r="F193" i="15" s="1"/>
  <c r="E23" i="15" s="1"/>
  <c r="E47" i="14" s="1"/>
  <c r="D142" i="15"/>
  <c r="E142" i="15" s="1"/>
  <c r="D143" i="15" s="1"/>
  <c r="E143" i="15" s="1"/>
  <c r="C157" i="15"/>
  <c r="E76" i="15"/>
  <c r="C155" i="15"/>
  <c r="E155" i="15" s="1"/>
  <c r="E35" i="15"/>
  <c r="D50" i="15"/>
  <c r="E50" i="15" s="1"/>
  <c r="E51" i="15" s="1"/>
  <c r="E89" i="15"/>
  <c r="C186" i="15"/>
  <c r="E186" i="15" s="1"/>
  <c r="A238" i="13"/>
  <c r="A221" i="13"/>
  <c r="A198" i="13"/>
  <c r="A189" i="13"/>
  <c r="A184" i="13"/>
  <c r="A166" i="13"/>
  <c r="A100" i="13"/>
  <c r="A83" i="13"/>
  <c r="A78" i="13"/>
  <c r="A73" i="13"/>
  <c r="A65" i="13"/>
  <c r="D169" i="15" l="1"/>
  <c r="E169" i="15" s="1"/>
  <c r="F170" i="15" s="1"/>
  <c r="E21" i="15" s="1"/>
  <c r="E45" i="14" s="1"/>
  <c r="E123" i="15"/>
  <c r="F124" i="15" s="1"/>
  <c r="E110" i="15"/>
  <c r="F111" i="15" s="1"/>
  <c r="F188" i="15"/>
  <c r="E22" i="15" s="1"/>
  <c r="F84" i="15"/>
  <c r="E14" i="15" s="1"/>
  <c r="D138" i="15"/>
  <c r="E138" i="15" s="1"/>
  <c r="E144" i="15" s="1"/>
  <c r="D145" i="15" s="1"/>
  <c r="E145" i="15" s="1"/>
  <c r="F146" i="15" s="1"/>
  <c r="E19" i="15" s="1"/>
  <c r="C153" i="15"/>
  <c r="D154" i="15" s="1"/>
  <c r="E154" i="15" s="1"/>
  <c r="D67" i="15"/>
  <c r="F78" i="15"/>
  <c r="E13" i="15" s="1"/>
  <c r="C158" i="15"/>
  <c r="D159" i="15" s="1"/>
  <c r="E159" i="15" s="1"/>
  <c r="D52" i="15"/>
  <c r="F90" i="15"/>
  <c r="A250" i="11"/>
  <c r="A216" i="11"/>
  <c r="A207" i="11"/>
  <c r="A202" i="11"/>
  <c r="A184" i="11"/>
  <c r="E104" i="11"/>
  <c r="E125" i="11"/>
  <c r="E221" i="13"/>
  <c r="C217" i="13"/>
  <c r="E217" i="13" s="1"/>
  <c r="D218" i="13" s="1"/>
  <c r="E218" i="13" s="1"/>
  <c r="C197" i="13"/>
  <c r="C195" i="13"/>
  <c r="E195" i="13" s="1"/>
  <c r="E193" i="13"/>
  <c r="D182" i="13"/>
  <c r="D180" i="13"/>
  <c r="D176" i="13"/>
  <c r="D174" i="13"/>
  <c r="C176" i="13"/>
  <c r="E166" i="13"/>
  <c r="C162" i="13"/>
  <c r="E100" i="13"/>
  <c r="E98" i="13"/>
  <c r="E83" i="13"/>
  <c r="A77" i="13"/>
  <c r="A82" i="13" s="1"/>
  <c r="C72" i="13"/>
  <c r="E65" i="13"/>
  <c r="E55" i="13"/>
  <c r="E45" i="13"/>
  <c r="E41" i="13"/>
  <c r="C82" i="13" s="1"/>
  <c r="E82" i="13" s="1"/>
  <c r="A41" i="13"/>
  <c r="A35" i="13"/>
  <c r="A33" i="13"/>
  <c r="A32" i="13"/>
  <c r="A31" i="13"/>
  <c r="A69" i="14" s="1"/>
  <c r="A30" i="13"/>
  <c r="A68" i="14" s="1"/>
  <c r="A29" i="13"/>
  <c r="A67" i="14" s="1"/>
  <c r="A28" i="13"/>
  <c r="A66" i="14" s="1"/>
  <c r="A27" i="13"/>
  <c r="A65" i="14" s="1"/>
  <c r="A26" i="13"/>
  <c r="A64" i="14" s="1"/>
  <c r="A25" i="13"/>
  <c r="A63" i="14" s="1"/>
  <c r="A24" i="13"/>
  <c r="A23" i="13"/>
  <c r="A22" i="13"/>
  <c r="A21" i="13"/>
  <c r="A20" i="13"/>
  <c r="A19" i="13"/>
  <c r="A18" i="13"/>
  <c r="F126" i="15" l="1"/>
  <c r="E16" i="15" s="1"/>
  <c r="D60" i="13"/>
  <c r="E60" i="13" s="1"/>
  <c r="E61" i="13" s="1"/>
  <c r="D62" i="13" s="1"/>
  <c r="E72" i="13"/>
  <c r="F73" i="13" s="1"/>
  <c r="E20" i="13" s="1"/>
  <c r="E43" i="14"/>
  <c r="F210" i="13"/>
  <c r="F212" i="13" s="1"/>
  <c r="E32" i="13" s="1"/>
  <c r="E46" i="14"/>
  <c r="E160" i="15"/>
  <c r="D161" i="15" s="1"/>
  <c r="E161" i="15" s="1"/>
  <c r="F162" i="15" s="1"/>
  <c r="E20" i="15" s="1"/>
  <c r="E44" i="14" s="1"/>
  <c r="E15" i="15"/>
  <c r="E162" i="13"/>
  <c r="D196" i="13"/>
  <c r="E196" i="13" s="1"/>
  <c r="D197" i="13" s="1"/>
  <c r="E197" i="13" s="1"/>
  <c r="F198" i="13" s="1"/>
  <c r="E31" i="13" s="1"/>
  <c r="E69" i="14" s="1"/>
  <c r="E163" i="13"/>
  <c r="C99" i="13"/>
  <c r="E42" i="13"/>
  <c r="F78" i="13"/>
  <c r="E21" i="13" s="1"/>
  <c r="F83" i="13"/>
  <c r="E22" i="13" s="1"/>
  <c r="E176" i="13"/>
  <c r="E164" i="13"/>
  <c r="D183" i="13"/>
  <c r="C180" i="13"/>
  <c r="E180" i="13" s="1"/>
  <c r="C188" i="13"/>
  <c r="E188" i="13" s="1"/>
  <c r="F189" i="13" s="1"/>
  <c r="E30" i="13" s="1"/>
  <c r="E68" i="14" s="1"/>
  <c r="C219" i="13"/>
  <c r="E219" i="13" s="1"/>
  <c r="D220" i="13" s="1"/>
  <c r="E220" i="13" s="1"/>
  <c r="F221" i="13" s="1"/>
  <c r="F223" i="13" s="1"/>
  <c r="E33" i="13" s="1"/>
  <c r="C182" i="13"/>
  <c r="E182" i="13" s="1"/>
  <c r="E174" i="13"/>
  <c r="E178" i="13"/>
  <c r="A55" i="14"/>
  <c r="A54" i="14"/>
  <c r="A53" i="14"/>
  <c r="A52" i="14"/>
  <c r="A51" i="14"/>
  <c r="A50" i="14"/>
  <c r="A49" i="14"/>
  <c r="E240" i="11"/>
  <c r="C236" i="11"/>
  <c r="E236" i="11" s="1"/>
  <c r="D237" i="11" s="1"/>
  <c r="E237" i="11" s="1"/>
  <c r="C213" i="11"/>
  <c r="E213" i="11" s="1"/>
  <c r="E211" i="11"/>
  <c r="D200" i="11"/>
  <c r="D198" i="11"/>
  <c r="D196" i="11"/>
  <c r="D194" i="11"/>
  <c r="D192" i="11"/>
  <c r="C215" i="11"/>
  <c r="E184" i="11"/>
  <c r="E138" i="11"/>
  <c r="E136" i="11"/>
  <c r="E130" i="11"/>
  <c r="E123" i="11"/>
  <c r="E122" i="11"/>
  <c r="E121" i="11"/>
  <c r="E120" i="11"/>
  <c r="E119" i="11"/>
  <c r="E118" i="11"/>
  <c r="E117" i="11"/>
  <c r="E116" i="11"/>
  <c r="E115" i="11"/>
  <c r="E114" i="11"/>
  <c r="E113" i="11"/>
  <c r="A96" i="11"/>
  <c r="A103" i="11" s="1"/>
  <c r="A95" i="11"/>
  <c r="A102" i="11" s="1"/>
  <c r="E83" i="11"/>
  <c r="C75" i="11"/>
  <c r="C72" i="11"/>
  <c r="C69" i="11"/>
  <c r="D69" i="11"/>
  <c r="E69" i="11" s="1"/>
  <c r="E62" i="11"/>
  <c r="C55" i="11"/>
  <c r="C49" i="11"/>
  <c r="D49" i="11"/>
  <c r="E49" i="11" s="1"/>
  <c r="A38" i="11"/>
  <c r="E34" i="11"/>
  <c r="A34" i="11"/>
  <c r="A33" i="11"/>
  <c r="A71" i="14"/>
  <c r="B12" i="16" s="1"/>
  <c r="A70" i="14"/>
  <c r="B11" i="16" s="1"/>
  <c r="A27" i="14"/>
  <c r="A26" i="14"/>
  <c r="A25" i="14"/>
  <c r="A24" i="14"/>
  <c r="A23" i="14"/>
  <c r="A22" i="14"/>
  <c r="A21" i="14"/>
  <c r="A20" i="14"/>
  <c r="B10" i="16" s="1"/>
  <c r="A19" i="14"/>
  <c r="B9" i="16" s="1"/>
  <c r="A18" i="14"/>
  <c r="A17" i="14"/>
  <c r="A16" i="14"/>
  <c r="A10" i="14"/>
  <c r="A9" i="14"/>
  <c r="B8" i="16" s="1"/>
  <c r="C137" i="11" l="1"/>
  <c r="C96" i="11"/>
  <c r="C103" i="11"/>
  <c r="E103" i="11" s="1"/>
  <c r="A12" i="14"/>
  <c r="E42" i="14"/>
  <c r="E18" i="15"/>
  <c r="F229" i="11"/>
  <c r="F231" i="11" s="1"/>
  <c r="E133" i="11"/>
  <c r="E95" i="13"/>
  <c r="E92" i="13"/>
  <c r="E134" i="11"/>
  <c r="E96" i="13"/>
  <c r="E132" i="11"/>
  <c r="E94" i="13"/>
  <c r="E131" i="11"/>
  <c r="E93" i="13"/>
  <c r="E135" i="11"/>
  <c r="E97" i="13"/>
  <c r="E55" i="14"/>
  <c r="D165" i="13"/>
  <c r="E165" i="13" s="1"/>
  <c r="F166" i="13" s="1"/>
  <c r="E28" i="13" s="1"/>
  <c r="E66" i="14" s="1"/>
  <c r="F205" i="15"/>
  <c r="E17" i="15" s="1"/>
  <c r="F184" i="13"/>
  <c r="E54" i="14"/>
  <c r="E180" i="11"/>
  <c r="E182" i="11"/>
  <c r="E181" i="11"/>
  <c r="D73" i="11"/>
  <c r="E73" i="11" s="1"/>
  <c r="E66" i="11"/>
  <c r="D90" i="11" s="1"/>
  <c r="E90" i="11" s="1"/>
  <c r="D72" i="11"/>
  <c r="E72" i="11" s="1"/>
  <c r="D124" i="11"/>
  <c r="E124" i="11" s="1"/>
  <c r="F125" i="11" s="1"/>
  <c r="D201" i="11"/>
  <c r="D214" i="11"/>
  <c r="E214" i="11" s="1"/>
  <c r="D215" i="11" s="1"/>
  <c r="E215" i="11" s="1"/>
  <c r="F216" i="11" s="1"/>
  <c r="E47" i="11"/>
  <c r="D89" i="11" s="1"/>
  <c r="E89" i="11" s="1"/>
  <c r="D50" i="11"/>
  <c r="E50" i="11" s="1"/>
  <c r="D55" i="11"/>
  <c r="E55" i="11" s="1"/>
  <c r="D70" i="11"/>
  <c r="E70" i="11" s="1"/>
  <c r="D75" i="11"/>
  <c r="E75" i="11" s="1"/>
  <c r="E95" i="11"/>
  <c r="D52" i="11"/>
  <c r="E52" i="11" s="1"/>
  <c r="E96" i="11"/>
  <c r="E102" i="11"/>
  <c r="D53" i="11"/>
  <c r="E53" i="11" s="1"/>
  <c r="C238" i="11"/>
  <c r="E238" i="11" s="1"/>
  <c r="D239" i="11" s="1"/>
  <c r="E239" i="11" s="1"/>
  <c r="F240" i="11" s="1"/>
  <c r="F242" i="11" s="1"/>
  <c r="E35" i="11"/>
  <c r="E25" i="11" l="1"/>
  <c r="E26" i="11"/>
  <c r="E24" i="11"/>
  <c r="D137" i="11"/>
  <c r="E137" i="11" s="1"/>
  <c r="F138" i="11" s="1"/>
  <c r="F140" i="11" s="1"/>
  <c r="E16" i="11" s="1"/>
  <c r="F104" i="11"/>
  <c r="F91" i="11"/>
  <c r="E13" i="11" s="1"/>
  <c r="D99" i="13"/>
  <c r="E99" i="13" s="1"/>
  <c r="F100" i="13" s="1"/>
  <c r="F102" i="13" s="1"/>
  <c r="E23" i="13" s="1"/>
  <c r="E97" i="11"/>
  <c r="F98" i="11" s="1"/>
  <c r="E14" i="11" s="1"/>
  <c r="E27" i="13"/>
  <c r="E65" i="14" s="1"/>
  <c r="E26" i="13"/>
  <c r="E64" i="14" s="1"/>
  <c r="E52" i="14"/>
  <c r="E29" i="13"/>
  <c r="E67" i="14" s="1"/>
  <c r="E53" i="14"/>
  <c r="D56" i="11"/>
  <c r="E56" i="11" s="1"/>
  <c r="D57" i="11" s="1"/>
  <c r="E57" i="11" s="1"/>
  <c r="D183" i="11"/>
  <c r="E183" i="11" s="1"/>
  <c r="F184" i="11" s="1"/>
  <c r="D76" i="11"/>
  <c r="E76" i="11" s="1"/>
  <c r="C196" i="11"/>
  <c r="E196" i="11" s="1"/>
  <c r="E192" i="11"/>
  <c r="C194" i="11"/>
  <c r="E194" i="11" s="1"/>
  <c r="C206" i="11"/>
  <c r="E206" i="11" s="1"/>
  <c r="F207" i="11" s="1"/>
  <c r="C198" i="11"/>
  <c r="E198" i="11" s="1"/>
  <c r="C200" i="11"/>
  <c r="E200" i="11" s="1"/>
  <c r="E21" i="11" l="1"/>
  <c r="E12" i="16"/>
  <c r="F12" i="16" s="1"/>
  <c r="E16" i="14"/>
  <c r="E23" i="11"/>
  <c r="E26" i="14" s="1"/>
  <c r="E15" i="11"/>
  <c r="E18" i="14" s="1"/>
  <c r="E27" i="14"/>
  <c r="E11" i="16"/>
  <c r="C11" i="16" s="1"/>
  <c r="D78" i="11"/>
  <c r="E78" i="11" s="1"/>
  <c r="E79" i="11" s="1"/>
  <c r="E19" i="14"/>
  <c r="E9" i="16" s="1"/>
  <c r="E63" i="14"/>
  <c r="E17" i="14"/>
  <c r="F201" i="13"/>
  <c r="E25" i="13"/>
  <c r="E22" i="14"/>
  <c r="E58" i="11"/>
  <c r="F202" i="11"/>
  <c r="E22" i="11" s="1"/>
  <c r="L12" i="16" l="1"/>
  <c r="P12" i="16"/>
  <c r="J12" i="16"/>
  <c r="C12" i="16"/>
  <c r="P11" i="16"/>
  <c r="O11" i="16"/>
  <c r="K12" i="16"/>
  <c r="G11" i="16"/>
  <c r="O12" i="16"/>
  <c r="G12" i="16"/>
  <c r="M12" i="16"/>
  <c r="I11" i="16"/>
  <c r="H12" i="16"/>
  <c r="N12" i="16"/>
  <c r="I12" i="16"/>
  <c r="F11" i="16"/>
  <c r="E18" i="11"/>
  <c r="H11" i="16"/>
  <c r="M11" i="16"/>
  <c r="L11" i="16"/>
  <c r="E24" i="14"/>
  <c r="N11" i="16"/>
  <c r="J11" i="16"/>
  <c r="K11" i="16"/>
  <c r="E25" i="14"/>
  <c r="C9" i="16"/>
  <c r="H9" i="16"/>
  <c r="L9" i="16"/>
  <c r="P9" i="16"/>
  <c r="F9" i="16"/>
  <c r="N9" i="16"/>
  <c r="K9" i="16"/>
  <c r="I9" i="16"/>
  <c r="M9" i="16"/>
  <c r="J9" i="16"/>
  <c r="G9" i="16"/>
  <c r="O9" i="16"/>
  <c r="E24" i="13"/>
  <c r="D80" i="11"/>
  <c r="D59" i="11"/>
  <c r="C12" i="9"/>
  <c r="E17" i="11" l="1"/>
  <c r="F219" i="11"/>
  <c r="E51" i="14"/>
  <c r="E23" i="14"/>
  <c r="E50" i="14"/>
  <c r="E21" i="14" l="1"/>
  <c r="E49" i="14"/>
  <c r="E228" i="13"/>
  <c r="F229" i="13" s="1"/>
  <c r="D237" i="13" s="1"/>
  <c r="E237" i="13" s="1"/>
  <c r="E20" i="14" l="1"/>
  <c r="E34" i="13"/>
  <c r="E72" i="14" l="1"/>
  <c r="E13" i="16" s="1"/>
  <c r="E10" i="16"/>
  <c r="G10" i="16" s="1"/>
  <c r="C17" i="8"/>
  <c r="C9" i="4"/>
  <c r="B14" i="4" s="1"/>
  <c r="F7" i="4"/>
  <c r="E7" i="4"/>
  <c r="D7" i="4"/>
  <c r="C14" i="8"/>
  <c r="C34" i="5"/>
  <c r="C29" i="5"/>
  <c r="C28" i="8" s="1"/>
  <c r="C28" i="5"/>
  <c r="H13" i="16" l="1"/>
  <c r="C13" i="16"/>
  <c r="L13" i="16"/>
  <c r="G13" i="16"/>
  <c r="O13" i="16"/>
  <c r="P13" i="16"/>
  <c r="M13" i="16"/>
  <c r="N13" i="16"/>
  <c r="K13" i="16"/>
  <c r="J13" i="16"/>
  <c r="I13" i="16"/>
  <c r="F13" i="16"/>
  <c r="C235" i="27"/>
  <c r="E235" i="27" s="1"/>
  <c r="F236" i="27" s="1"/>
  <c r="F238" i="27" s="1"/>
  <c r="C251" i="19"/>
  <c r="E251" i="19" s="1"/>
  <c r="F252" i="19" s="1"/>
  <c r="F254" i="19" s="1"/>
  <c r="C236" i="13"/>
  <c r="C212" i="12"/>
  <c r="E212" i="12" s="1"/>
  <c r="F213" i="12" s="1"/>
  <c r="F215" i="12" s="1"/>
  <c r="C249" i="11"/>
  <c r="C235" i="15"/>
  <c r="C235" i="18"/>
  <c r="E235" i="18" s="1"/>
  <c r="F236" i="18" s="1"/>
  <c r="F238" i="18" s="1"/>
  <c r="C10" i="16"/>
  <c r="K10" i="16"/>
  <c r="F10" i="16"/>
  <c r="O10" i="16"/>
  <c r="L10" i="16"/>
  <c r="N10" i="16"/>
  <c r="P10" i="16"/>
  <c r="J10" i="16"/>
  <c r="M10" i="16"/>
  <c r="H10" i="16"/>
  <c r="I10" i="16"/>
  <c r="C27" i="8"/>
  <c r="G28" i="5"/>
  <c r="C39" i="5"/>
  <c r="E37" i="5"/>
  <c r="D37" i="5" s="1"/>
  <c r="D38" i="5" s="1"/>
  <c r="C38" i="5" s="1"/>
  <c r="C24" i="8" s="1"/>
  <c r="C32" i="8" s="1"/>
  <c r="F257" i="19" l="1"/>
  <c r="F264" i="19" s="1"/>
  <c r="E27" i="19"/>
  <c r="E27" i="27"/>
  <c r="F241" i="27"/>
  <c r="F246" i="27" s="1"/>
  <c r="E33" i="12"/>
  <c r="E34" i="12" s="1"/>
  <c r="F218" i="12"/>
  <c r="F223" i="12" s="1"/>
  <c r="E27" i="18"/>
  <c r="F241" i="18"/>
  <c r="F246" i="18" s="1"/>
  <c r="C26" i="8"/>
  <c r="C25" i="8"/>
  <c r="K35" i="5"/>
  <c r="K36" i="5" s="1"/>
  <c r="K37" i="5" s="1"/>
  <c r="K38" i="5" s="1"/>
  <c r="K39" i="5" s="1"/>
  <c r="K40" i="5" s="1"/>
  <c r="K41" i="5" s="1"/>
  <c r="C16" i="8"/>
  <c r="C22" i="8" s="1"/>
  <c r="C31" i="8" s="1"/>
  <c r="C33" i="8" s="1"/>
  <c r="F37" i="5"/>
  <c r="G37" i="5" s="1"/>
  <c r="C37" i="5"/>
  <c r="E28" i="27" l="1"/>
  <c r="F27" i="27" s="1"/>
  <c r="E28" i="19"/>
  <c r="F11" i="19" s="1"/>
  <c r="E28" i="18"/>
  <c r="F27" i="18" s="1"/>
  <c r="F33" i="12"/>
  <c r="F22" i="12"/>
  <c r="F20" i="12"/>
  <c r="F19" i="12"/>
  <c r="F30" i="12"/>
  <c r="F27" i="12"/>
  <c r="F32" i="12"/>
  <c r="F24" i="12"/>
  <c r="F25" i="12"/>
  <c r="F26" i="12"/>
  <c r="F21" i="12"/>
  <c r="F31" i="12"/>
  <c r="F29" i="12"/>
  <c r="F23" i="12"/>
  <c r="F17" i="12"/>
  <c r="F18" i="12"/>
  <c r="F28" i="12"/>
  <c r="C29" i="8"/>
  <c r="C34" i="8" s="1"/>
  <c r="G38" i="5"/>
  <c r="G32" i="5"/>
  <c r="F13" i="19" l="1"/>
  <c r="F15" i="19"/>
  <c r="F10" i="19"/>
  <c r="F23" i="19"/>
  <c r="F25" i="19"/>
  <c r="F26" i="19"/>
  <c r="F22" i="19"/>
  <c r="F24" i="19"/>
  <c r="F21" i="19"/>
  <c r="F17" i="19"/>
  <c r="F19" i="19"/>
  <c r="F20" i="19"/>
  <c r="F18" i="19"/>
  <c r="F12" i="19"/>
  <c r="F14" i="19"/>
  <c r="F17" i="27"/>
  <c r="F24" i="27"/>
  <c r="F26" i="27"/>
  <c r="F12" i="27"/>
  <c r="F10" i="27"/>
  <c r="F14" i="27"/>
  <c r="F16" i="27"/>
  <c r="F20" i="27"/>
  <c r="F23" i="27"/>
  <c r="F22" i="27"/>
  <c r="F11" i="27"/>
  <c r="F19" i="27"/>
  <c r="F15" i="27"/>
  <c r="F18" i="27"/>
  <c r="F25" i="27"/>
  <c r="F13" i="27"/>
  <c r="F21" i="27"/>
  <c r="F16" i="19"/>
  <c r="F27" i="19"/>
  <c r="F34" i="12"/>
  <c r="F15" i="18"/>
  <c r="F16" i="18"/>
  <c r="F13" i="18"/>
  <c r="F25" i="18"/>
  <c r="F11" i="18"/>
  <c r="F17" i="18"/>
  <c r="F20" i="18"/>
  <c r="F22" i="18"/>
  <c r="F10" i="18"/>
  <c r="F14" i="18"/>
  <c r="F12" i="18"/>
  <c r="F26" i="18"/>
  <c r="F19" i="18"/>
  <c r="F24" i="18"/>
  <c r="F18" i="18"/>
  <c r="F21" i="18"/>
  <c r="F23" i="18"/>
  <c r="C67" i="15"/>
  <c r="E67" i="15" s="1"/>
  <c r="E68" i="15" s="1"/>
  <c r="D69" i="15" s="1"/>
  <c r="E69" i="15" s="1"/>
  <c r="F70" i="15" s="1"/>
  <c r="C52" i="15"/>
  <c r="E52" i="15" s="1"/>
  <c r="E53" i="15" s="1"/>
  <c r="D54" i="15" s="1"/>
  <c r="E54" i="15" s="1"/>
  <c r="F55" i="15" s="1"/>
  <c r="E11" i="15" s="1"/>
  <c r="C62" i="13"/>
  <c r="E62" i="13" s="1"/>
  <c r="E63" i="13" s="1"/>
  <c r="D64" i="13" s="1"/>
  <c r="E64" i="13" s="1"/>
  <c r="F65" i="13" s="1"/>
  <c r="C59" i="11"/>
  <c r="E59" i="11" s="1"/>
  <c r="E60" i="11" s="1"/>
  <c r="D61" i="11" s="1"/>
  <c r="E61" i="11" s="1"/>
  <c r="F62" i="11" s="1"/>
  <c r="E11" i="11" s="1"/>
  <c r="C80" i="11"/>
  <c r="E80" i="11" s="1"/>
  <c r="E81" i="11" s="1"/>
  <c r="D82" i="11" s="1"/>
  <c r="E82" i="11" s="1"/>
  <c r="F83" i="11" l="1"/>
  <c r="F28" i="19"/>
  <c r="F28" i="27"/>
  <c r="F28" i="18"/>
  <c r="E12" i="15"/>
  <c r="F92" i="15"/>
  <c r="F230" i="15" s="1"/>
  <c r="F85" i="13"/>
  <c r="F231" i="13" s="1"/>
  <c r="E19" i="13"/>
  <c r="E18" i="13" s="1"/>
  <c r="E13" i="14" l="1"/>
  <c r="F106" i="11"/>
  <c r="F244" i="11" s="1"/>
  <c r="E12" i="11"/>
  <c r="E12" i="14" s="1"/>
  <c r="E10" i="15"/>
  <c r="D235" i="15"/>
  <c r="D236" i="13"/>
  <c r="E236" i="13" s="1"/>
  <c r="E9" i="14" l="1"/>
  <c r="E10" i="11"/>
  <c r="E235" i="15"/>
  <c r="F236" i="15" s="1"/>
  <c r="F238" i="15" s="1"/>
  <c r="F238" i="13"/>
  <c r="F240" i="13" s="1"/>
  <c r="D249" i="11"/>
  <c r="E27" i="15" l="1"/>
  <c r="F241" i="15"/>
  <c r="F246" i="15" s="1"/>
  <c r="E249" i="11"/>
  <c r="F250" i="11" s="1"/>
  <c r="F252" i="11" s="1"/>
  <c r="E27" i="11" s="1"/>
  <c r="E35" i="13"/>
  <c r="F243" i="13"/>
  <c r="F248" i="13" s="1"/>
  <c r="E8" i="16"/>
  <c r="E28" i="11" l="1"/>
  <c r="F19" i="11" s="1"/>
  <c r="E73" i="14"/>
  <c r="E74" i="14" s="1"/>
  <c r="E28" i="15"/>
  <c r="F255" i="11"/>
  <c r="F260" i="11" s="1"/>
  <c r="E36" i="13"/>
  <c r="G8" i="16"/>
  <c r="J8" i="16"/>
  <c r="F8" i="16"/>
  <c r="K8" i="16"/>
  <c r="L8" i="16"/>
  <c r="P8" i="16"/>
  <c r="I8" i="16"/>
  <c r="H8" i="16"/>
  <c r="O8" i="16"/>
  <c r="N8" i="16"/>
  <c r="C8" i="16"/>
  <c r="M8" i="16"/>
  <c r="F20" i="11" l="1"/>
  <c r="F23" i="11"/>
  <c r="F24" i="11"/>
  <c r="F22" i="11"/>
  <c r="F14" i="11"/>
  <c r="F13" i="11"/>
  <c r="F21" i="11"/>
  <c r="F15" i="11"/>
  <c r="F26" i="11"/>
  <c r="F10" i="11"/>
  <c r="F27" i="11"/>
  <c r="F12" i="11"/>
  <c r="F25" i="11"/>
  <c r="F11" i="11"/>
  <c r="F16" i="11"/>
  <c r="F17" i="11"/>
  <c r="F18" i="11"/>
  <c r="F34" i="14"/>
  <c r="F27" i="15"/>
  <c r="F17" i="15"/>
  <c r="F19" i="15"/>
  <c r="F25" i="15"/>
  <c r="F21" i="15"/>
  <c r="F24" i="15"/>
  <c r="F20" i="15"/>
  <c r="F15" i="15"/>
  <c r="F12" i="15"/>
  <c r="F13" i="15"/>
  <c r="F22" i="15"/>
  <c r="F23" i="15"/>
  <c r="F26" i="15"/>
  <c r="F16" i="15"/>
  <c r="F18" i="15"/>
  <c r="F10" i="15"/>
  <c r="F14" i="15"/>
  <c r="F11" i="15"/>
  <c r="F30" i="13"/>
  <c r="F21" i="13"/>
  <c r="F26" i="13"/>
  <c r="F34" i="13"/>
  <c r="F18" i="13"/>
  <c r="F25" i="13"/>
  <c r="F29" i="13"/>
  <c r="F32" i="13"/>
  <c r="F28" i="13"/>
  <c r="F24" i="13"/>
  <c r="F31" i="13"/>
  <c r="F22" i="13"/>
  <c r="F20" i="13"/>
  <c r="F23" i="13"/>
  <c r="F27" i="13"/>
  <c r="F33" i="13"/>
  <c r="F19" i="13"/>
  <c r="F35" i="13"/>
  <c r="F28" i="11" l="1"/>
  <c r="F30" i="14"/>
  <c r="F28" i="14"/>
  <c r="F31" i="14"/>
  <c r="F29" i="14"/>
  <c r="F33" i="14"/>
  <c r="F32" i="14"/>
  <c r="F28" i="15"/>
  <c r="F58" i="14"/>
  <c r="F62" i="14"/>
  <c r="F61" i="14"/>
  <c r="F60" i="14"/>
  <c r="F59" i="14"/>
  <c r="F74" i="14"/>
  <c r="F57" i="14"/>
  <c r="F14" i="14"/>
  <c r="F15" i="14"/>
  <c r="E14" i="16"/>
  <c r="N14" i="16" s="1"/>
  <c r="N15" i="16" s="1"/>
  <c r="F56" i="14"/>
  <c r="F40" i="14"/>
  <c r="F36" i="14"/>
  <c r="F38" i="14"/>
  <c r="F37" i="14"/>
  <c r="F41" i="14"/>
  <c r="F35" i="14"/>
  <c r="F39" i="14"/>
  <c r="F73" i="14"/>
  <c r="F9" i="14"/>
  <c r="F42" i="14"/>
  <c r="F16" i="14"/>
  <c r="F27" i="14"/>
  <c r="F46" i="14"/>
  <c r="F11" i="14"/>
  <c r="F17" i="14"/>
  <c r="F22" i="14"/>
  <c r="F55" i="14"/>
  <c r="F64" i="14"/>
  <c r="F13" i="14"/>
  <c r="F23" i="14"/>
  <c r="F47" i="14"/>
  <c r="F25" i="14"/>
  <c r="F19" i="14"/>
  <c r="F44" i="14"/>
  <c r="F65" i="14"/>
  <c r="F21" i="14"/>
  <c r="F48" i="14"/>
  <c r="F43" i="14"/>
  <c r="F71" i="14"/>
  <c r="F20" i="14"/>
  <c r="F50" i="14"/>
  <c r="F66" i="14"/>
  <c r="F12" i="14"/>
  <c r="F72" i="14"/>
  <c r="F70" i="14"/>
  <c r="F24" i="14"/>
  <c r="F63" i="14"/>
  <c r="F53" i="14"/>
  <c r="F10" i="14"/>
  <c r="F45" i="14"/>
  <c r="F69" i="14"/>
  <c r="F26" i="14"/>
  <c r="F49" i="14"/>
  <c r="F68" i="14"/>
  <c r="F51" i="14"/>
  <c r="F54" i="14"/>
  <c r="F52" i="14"/>
  <c r="F67" i="14"/>
  <c r="F18" i="14"/>
  <c r="F36" i="13"/>
  <c r="O14" i="16" l="1"/>
  <c r="O15" i="16" s="1"/>
  <c r="E15" i="16"/>
  <c r="C14" i="16"/>
  <c r="C15" i="16" s="1"/>
  <c r="D12" i="16" s="1"/>
  <c r="P14" i="16"/>
  <c r="P15" i="16" s="1"/>
  <c r="L14" i="16"/>
  <c r="L15" i="16" s="1"/>
  <c r="I14" i="16"/>
  <c r="I15" i="16" s="1"/>
  <c r="K14" i="16"/>
  <c r="K15" i="16" s="1"/>
  <c r="G14" i="16"/>
  <c r="G15" i="16" s="1"/>
  <c r="H14" i="16"/>
  <c r="H15" i="16" s="1"/>
  <c r="J14" i="16"/>
  <c r="J15" i="16" s="1"/>
  <c r="F14" i="16"/>
  <c r="F15" i="16" s="1"/>
  <c r="M14" i="16"/>
  <c r="M15" i="16" s="1"/>
  <c r="D13" i="16" l="1"/>
  <c r="D14" i="16"/>
  <c r="D8" i="16"/>
  <c r="D10" i="16"/>
  <c r="D11" i="16"/>
  <c r="D9" i="16"/>
  <c r="D15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6" authorId="0" shapeId="0" xr:uid="{11A1DD9D-E8AC-4725-B2DA-145EAC722531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34421D15-D3F3-49A4-99F2-3AF4BF0D5DDA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2B970BCE-5DFE-4A3F-BB3C-80A2A989521D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A426B92D-C790-4DB4-9274-2B812432AFF9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FCC3D976-ADA9-4602-ADBF-45F405F0E2EB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  <comment ref="C20" authorId="0" shapeId="0" xr:uid="{FF465C8B-C0BF-4CA4-BF67-477B11DE07F2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9C86FFA4-1C13-419B-A75C-72776E5DBD9D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7049A6A1-E1B4-4670-B16B-D81BB5C85BB3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8" authorId="0" shapeId="0" xr:uid="{00000000-0006-0000-02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0000000-0006-0000-0200-000008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50" authorId="0" shapeId="0" xr:uid="{00000000-0006-0000-0200-000009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51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53" authorId="0" shapeId="0" xr:uid="{00000000-0006-0000-0200-00000B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54" authorId="0" shapeId="0" xr:uid="{00000000-0006-0000-02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56" authorId="0" shapeId="0" xr:uid="{00000000-0006-0000-0200-00000D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1" authorId="0" shapeId="0" xr:uid="{00000000-0006-0000-0200-00000F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8" authorId="0" shapeId="0" xr:uid="{00000000-0006-0000-0200-000016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0" authorId="0" shapeId="0" xr:uid="{00000000-0006-0000-0200-000017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71" authorId="0" shapeId="0" xr:uid="{00000000-0006-0000-0200-000018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3" authorId="0" shapeId="0" xr:uid="{00000000-0006-0000-0200-000019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4" authorId="0" shapeId="0" xr:uid="{00000000-0006-0000-0200-00001A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6" authorId="0" shapeId="0" xr:uid="{00000000-0006-0000-0200-00001B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 shapeId="0" xr:uid="{00000000-0006-0000-0200-00001C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0" authorId="0" shapeId="0" xr:uid="{00000000-0006-0000-0200-00001D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2" authorId="0" shapeId="0" xr:uid="{00000000-0006-0000-0200-00001E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7" authorId="0" shapeId="0" xr:uid="{00000000-0006-0000-0200-00001F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88" authorId="0" shapeId="0" xr:uid="{00000000-0006-0000-0200-000020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9" authorId="0" shapeId="0" xr:uid="{30BFB42D-A32D-4CCF-AFD9-9164C9951AA4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90" authorId="0" shapeId="0" xr:uid="{28F9B113-BF51-4562-8F02-8B3A9C5FE8A6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95" authorId="0" shapeId="0" xr:uid="{040317D6-10D9-4DF4-B22F-6C390043A858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6" authorId="0" shapeId="0" xr:uid="{E35C305C-EC3C-4DC3-96EF-7A3EE7FBF233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02" authorId="0" shapeId="0" xr:uid="{00000000-0006-0000-0200-000025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03" authorId="0" shapeId="0" xr:uid="{00000000-0006-0000-0200-000026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13" authorId="0" shapeId="0" xr:uid="{00000000-0006-0000-0200-00002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 shapeId="0" xr:uid="{00000000-0006-0000-0200-000028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 shapeId="0" xr:uid="{00000000-0006-0000-0200-00002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 shapeId="0" xr:uid="{00000000-0006-0000-0200-00002A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5" authorId="0" shapeId="0" xr:uid="{00000000-0006-0000-02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 shapeId="0" xr:uid="{00000000-0006-0000-0200-00002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6" authorId="0" shapeId="0" xr:uid="{00000000-0006-0000-02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6" authorId="0" shapeId="0" xr:uid="{00000000-0006-0000-0200-00002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7" authorId="0" shapeId="0" xr:uid="{00000000-0006-0000-02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7" authorId="0" shapeId="0" xr:uid="{00000000-0006-0000-0200-000030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8" authorId="0" shapeId="0" xr:uid="{00000000-0006-0000-0200-00003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8" authorId="0" shapeId="0" xr:uid="{00000000-0006-0000-0200-000032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9" authorId="0" shapeId="0" xr:uid="{00000000-0006-0000-02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9" authorId="0" shapeId="0" xr:uid="{00000000-0006-0000-0200-000034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0" authorId="0" shapeId="0" xr:uid="{00000000-0006-0000-02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0" authorId="0" shapeId="0" xr:uid="{00000000-0006-0000-0200-000036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1" authorId="0" shapeId="0" xr:uid="{00000000-0006-0000-02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1" authorId="0" shapeId="0" xr:uid="{00000000-0006-0000-0200-000038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2" authorId="0" shapeId="0" xr:uid="{00000000-0006-0000-0200-00003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 shapeId="0" xr:uid="{00000000-0006-0000-0200-00003A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23" authorId="0" shapeId="0" xr:uid="{00000000-0006-0000-0200-00003B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30" authorId="0" shapeId="0" xr:uid="{00000000-0006-0000-0200-00003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1" authorId="0" shapeId="0" xr:uid="{00000000-0006-0000-02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2" authorId="0" shapeId="0" xr:uid="{00000000-0006-0000-0200-00003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3" authorId="0" shapeId="0" xr:uid="{00000000-0006-0000-0200-00003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4" authorId="0" shapeId="0" xr:uid="{00000000-0006-0000-02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5" authorId="0" shapeId="0" xr:uid="{00000000-0006-0000-02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 shapeId="0" xr:uid="{21EF4BE4-E5B5-4EE3-A4B9-1772B096CFA3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48" authorId="0" shapeId="0" xr:uid="{44270455-41B1-4838-835D-A1F81930138B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49" authorId="0" shapeId="0" xr:uid="{899BC70B-D4E2-4811-898E-A08C088E3FA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50" authorId="0" shapeId="0" xr:uid="{AE944515-BF44-4B7C-A50B-539FC06AED22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1" authorId="0" shapeId="0" xr:uid="{FEBC4070-877D-4816-95AB-9DFC009FE43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3" authorId="0" shapeId="0" xr:uid="{A1287357-62C5-4B56-8AC5-B76E7E6CD32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54" authorId="0" shapeId="0" xr:uid="{F9A9E052-CEE8-4A65-AE2A-0275E12160DE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55" authorId="0" shapeId="0" xr:uid="{FAC693A0-60A5-4018-BDA0-306242B7F445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56" authorId="0" shapeId="0" xr:uid="{57633C77-2392-4211-B36F-4A027E6F2FCF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9" authorId="0" shapeId="0" xr:uid="{3A167CFB-B7EA-49D3-BB9A-2B646581C1AC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65" authorId="0" shapeId="0" xr:uid="{7DC782C6-E773-417D-9794-B95274878DE1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0" authorId="0" shapeId="0" xr:uid="{E0A61F40-75A0-4A80-9A4E-49C104601A65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" authorId="0" shapeId="0" xr:uid="{E496A9DD-268C-4030-8C74-3AA11E977E53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82" authorId="0" shapeId="0" xr:uid="{00000000-0006-0000-0200-00004E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88" authorId="0" shapeId="0" xr:uid="{00000000-0006-0000-0200-00004F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91" authorId="0" shapeId="0" xr:uid="{00000000-0006-0000-0200-000050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91" authorId="0" shapeId="0" xr:uid="{00000000-0006-0000-0200-000051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93" authorId="0" shapeId="0" xr:uid="{00000000-0006-0000-0200-000052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93" authorId="0" shapeId="0" xr:uid="{00000000-0006-0000-0200-000053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95" authorId="0" shapeId="0" xr:uid="{00000000-0006-0000-0200-000054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95" authorId="0" shapeId="0" xr:uid="{00000000-0006-0000-0200-000055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97" authorId="0" shapeId="0" xr:uid="{00000000-0006-0000-0200-000056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97" authorId="0" shapeId="0" xr:uid="{00000000-0006-0000-0200-000057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99" authorId="0" shapeId="0" xr:uid="{00000000-0006-0000-0200-000058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99" authorId="0" shapeId="0" xr:uid="{00000000-0006-0000-0200-000059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06" authorId="0" shapeId="0" xr:uid="{00000000-0006-0000-0200-00005A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11" authorId="0" shapeId="0" xr:uid="{00000000-0006-0000-0200-00005B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1" authorId="0" shapeId="0" xr:uid="{00000000-0006-0000-0200-00005C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2" authorId="0" shapeId="0" xr:uid="{00000000-0006-0000-0200-00005D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13" authorId="0" shapeId="0" xr:uid="{00000000-0006-0000-0200-00005E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14" authorId="0" shapeId="0" xr:uid="{00000000-0006-0000-0200-00005F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24" authorId="0" shapeId="0" xr:uid="{00000000-0006-0000-0200-000060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4" authorId="0" shapeId="0" xr:uid="{00000000-0006-0000-0200-000061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5" authorId="0" shapeId="0" xr:uid="{00000000-0006-0000-0200-000062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5" authorId="0" shapeId="0" xr:uid="{00000000-0006-0000-0200-000063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6" authorId="0" shapeId="0" xr:uid="{00000000-0006-0000-0200-000064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6" authorId="0" shapeId="0" xr:uid="{04E93970-E22F-4DF2-9B52-52735077069D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7" authorId="0" shapeId="0" xr:uid="{00000000-0006-0000-0200-00006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7" authorId="0" shapeId="0" xr:uid="{00000000-0006-0000-0200-00006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8" authorId="0" shapeId="0" xr:uid="{00000000-0006-0000-0200-00006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8" authorId="0" shapeId="0" xr:uid="{00000000-0006-0000-0200-00006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33" authorId="0" shapeId="0" xr:uid="{00000000-0006-0000-0200-00006A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6" authorId="0" shapeId="0" xr:uid="{00000000-0006-0000-0200-00006B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38" authorId="0" shapeId="0" xr:uid="{00000000-0006-0000-0200-00006C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49" authorId="0" shapeId="0" xr:uid="{00000000-0006-0000-0200-00006D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58" authorId="0" shapeId="0" xr:uid="{00000000-0006-0000-0200-00006E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8" authorId="0" shapeId="0" xr:uid="{6CE40F2A-5F5C-4762-8BA7-827C6F5FECF9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DB259906-2237-4EE7-A299-C3E838F4FC52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C37E70B4-74CC-4261-91D3-AF735966C70B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8" authorId="0" shapeId="0" xr:uid="{D75C8CA4-B8A2-4B01-A9A9-0EF638CD610F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8EF9D7B2-158C-4C11-B898-206BE19DA8D8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 xr:uid="{835628BA-0AC2-446A-919D-783E722968F8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4" authorId="0" shapeId="0" xr:uid="{354689EA-C174-4B18-A27C-1BCE01EE2E88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9" authorId="0" shapeId="0" xr:uid="{58EF46A1-A677-4675-8030-1B1F5BA86389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0" authorId="0" shapeId="0" xr:uid="{B6E10C94-A99E-43DC-97E4-EBFACBD909E5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1" authorId="0" shapeId="0" xr:uid="{19274A06-7CAE-4508-96A6-11C1085EE7A5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 shapeId="0" xr:uid="{88A2B846-391E-4B71-8505-D394012E7219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8C5A6805-96DD-4DFF-A9EB-19CFDC567872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4" authorId="0" shapeId="0" xr:uid="{60F5F231-DD74-4698-9F24-DC2655B38DC9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6" authorId="0" shapeId="0" xr:uid="{A7B6910C-9921-452E-8E9D-584C43DD29C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8" authorId="0" shapeId="0" xr:uid="{E5A9B10B-09C9-44DC-BA2A-CFAAC7EE80CF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3" authorId="0" shapeId="0" xr:uid="{E0D56C12-E97F-4973-93DF-6811F87DA4C4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4" authorId="0" shapeId="0" xr:uid="{85F9FE78-2A89-4753-B474-BAA5AF1C13CE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5" authorId="0" shapeId="0" xr:uid="{F4434BBE-416F-449D-80F4-A1A0CFF707DF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76" authorId="0" shapeId="0" xr:uid="{81941731-2D99-434C-9243-4B4033289311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1" authorId="0" shapeId="0" xr:uid="{6BC500B7-1E16-47EB-A734-4979ED75F163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2" authorId="0" shapeId="0" xr:uid="{25E7B11E-299F-4DED-B07D-13D433126151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8" authorId="0" shapeId="0" xr:uid="{63CFCF2A-4CB4-4C0A-9DBE-8F6A16130BC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89" authorId="0" shapeId="0" xr:uid="{58379AFA-E8A4-4633-BEEF-89823F476B33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99" authorId="0" shapeId="0" xr:uid="{BC1B71CD-E48D-40E7-B62B-CC46A0976A42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9" authorId="0" shapeId="0" xr:uid="{988860A1-AF8B-433D-8FE8-FC92D20DD496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0" authorId="0" shapeId="0" xr:uid="{12BBCF77-28A5-4D88-9E2D-43CE2163428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0" authorId="0" shapeId="0" xr:uid="{A54E50FC-D23E-4AEB-94E8-47C8BBD921E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1" authorId="0" shapeId="0" xr:uid="{5DDE61D0-7827-450B-8BE1-A44CC173B7DA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1" authorId="0" shapeId="0" xr:uid="{B2E92B46-7041-4021-AC62-72520561FA24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2" authorId="0" shapeId="0" xr:uid="{4D3E39F7-57BF-4CCD-A30B-62181BA1DE4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2" authorId="0" shapeId="0" xr:uid="{3BC7E47E-2526-4401-96BA-18A5222D780A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3" authorId="0" shapeId="0" xr:uid="{E8CE5838-8577-4437-A84E-CD6019D3AF8B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3" authorId="0" shapeId="0" xr:uid="{F8597315-6873-461A-97AE-6F40A059D2B5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4" authorId="0" shapeId="0" xr:uid="{81E423A3-A264-4AEE-A9E9-36265B469FB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4" authorId="0" shapeId="0" xr:uid="{EC250D00-7477-4AE2-9ACB-1687288BF903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5" authorId="0" shapeId="0" xr:uid="{3495F4A5-9689-4D60-8030-6F2E150A8D3C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5" authorId="0" shapeId="0" xr:uid="{1433838A-8348-4971-990A-7A14592F8D54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6" authorId="0" shapeId="0" xr:uid="{2CCE9022-8241-4C8E-A1E9-DE6F6CBF72A4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6" authorId="0" shapeId="0" xr:uid="{81009D9A-7414-4AA6-817B-8205D4FC6006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7" authorId="0" shapeId="0" xr:uid="{3C542628-21DB-4524-BC16-202C18B8FFAF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 shapeId="0" xr:uid="{A364BE97-7547-4082-8E0A-D3DA8864534E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 shapeId="0" xr:uid="{2D0FD365-3D80-4E2F-96CE-E4C6C6FBD2C2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 xr:uid="{9D542B63-AEE8-41B0-BA6A-06264C895ACF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09" authorId="0" shapeId="0" xr:uid="{D59338FE-780C-4D78-86E5-AB056DEABFA8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16" authorId="0" shapeId="0" xr:uid="{413E53E1-1474-4074-AD3C-09FCAC0276F5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7" authorId="0" shapeId="0" xr:uid="{E8C3AB47-E3F4-4604-BB93-129AE9577BB8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8" authorId="0" shapeId="0" xr:uid="{C91345BD-519F-4A62-B62F-44A537A41FC2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9" authorId="0" shapeId="0" xr:uid="{BCEDE0F4-7E9E-43D1-917F-4A7E8F0F127A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0" authorId="0" shapeId="0" xr:uid="{90E9FDF0-7F41-40EC-92AA-D5A47A4C6665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1" authorId="0" shapeId="0" xr:uid="{B676714B-5A72-41BC-B537-7BAED74028C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 shapeId="0" xr:uid="{3BD68DDE-9D8A-4DE4-81C1-63D7156BFC11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34" authorId="0" shapeId="0" xr:uid="{15785AF7-B532-4B1F-9199-FF86109C0264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35" authorId="0" shapeId="0" xr:uid="{C10A07B2-10B6-4657-815A-1DD39BE443B2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36" authorId="0" shapeId="0" xr:uid="{DFFC7289-A307-422B-B687-9838B3D9E083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37" authorId="0" shapeId="0" xr:uid="{A93D7BA2-34BA-4CB0-B41C-7404F13756FE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9" authorId="0" shapeId="0" xr:uid="{F1111878-6820-43E7-8C86-55C3B85DBF02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0" authorId="0" shapeId="0" xr:uid="{6F79A563-B675-45E7-8D20-866FB5B016E4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1" authorId="0" shapeId="0" xr:uid="{5E15BC2E-0138-480E-977A-2915A13ACBD9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42" authorId="0" shapeId="0" xr:uid="{C5A3E701-811F-4245-A594-B00BE8190EAB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5" authorId="0" shapeId="0" xr:uid="{0B718E2D-C625-4325-8633-24089671BC2D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1" authorId="0" shapeId="0" xr:uid="{2497FBB3-ED23-4812-AFA6-E5F544DC3B81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6" authorId="0" shapeId="0" xr:uid="{5F81FCCA-A363-4478-A215-6474884A6816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 xr:uid="{694DB2B6-86C8-4697-A99F-EBAE9F955C25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8" authorId="0" shapeId="0" xr:uid="{2200DDCA-D804-466B-A92C-45FFD59BD001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74" authorId="0" shapeId="0" xr:uid="{DB58A3CB-C83C-4712-A544-36594EBEBC82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77" authorId="0" shapeId="0" xr:uid="{39DE6D01-1362-4E08-915D-C14834748C4F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77" authorId="0" shapeId="0" xr:uid="{B5408855-7CE1-47BE-860C-C6A904482155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9" authorId="0" shapeId="0" xr:uid="{9104FC24-F238-4C80-80C7-EAE801F2C959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9" authorId="0" shapeId="0" xr:uid="{8799DD5E-761C-46F4-A63F-17328DE97EF6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1" authorId="0" shapeId="0" xr:uid="{23B444E7-7A56-4375-8134-E5C08740388A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81" authorId="0" shapeId="0" xr:uid="{EB8FB6BF-E846-4606-AB2C-07AE036F5CEC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83" authorId="0" shapeId="0" xr:uid="{0F17E4B9-6114-440F-95BF-8E32DA270501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83" authorId="0" shapeId="0" xr:uid="{AEA0D061-7816-46F8-BBE2-3867AB369997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85" authorId="0" shapeId="0" xr:uid="{26B05A73-6CDE-4330-9247-83AE61B531B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85" authorId="0" shapeId="0" xr:uid="{D5862AB7-605D-433F-B50C-D669AC598D5C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92" authorId="0" shapeId="0" xr:uid="{EAFDAFD2-C24A-4ECA-8DB5-7FE9E4F82AF6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97" authorId="0" shapeId="0" xr:uid="{38123C3B-3479-4920-83DA-889CC3F3EBBD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97" authorId="0" shapeId="0" xr:uid="{FAF0C88C-2701-4875-A00B-F02A07CA9CF6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8" authorId="0" shapeId="0" xr:uid="{900BEE3A-1744-4E19-B7FE-87321057ABDB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9" authorId="0" shapeId="0" xr:uid="{8CEB8D7F-67B8-4673-AA0D-79FE33B339A4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00" authorId="0" shapeId="0" xr:uid="{ECBEA178-16B2-4C27-BBF2-FD60BCBD68C4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10" authorId="0" shapeId="0" xr:uid="{5043408C-92E9-42F5-B5D2-958508F71C75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0" authorId="0" shapeId="0" xr:uid="{5463D5FE-95E2-4ADC-AD06-56C2E01F4E46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1" authorId="0" shapeId="0" xr:uid="{F29FEF97-EAFF-4599-9BE8-70DC237ACE42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1" authorId="0" shapeId="0" xr:uid="{079706B5-51B5-45D3-924D-F7F8FD879A2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2" authorId="0" shapeId="0" xr:uid="{8118797E-76FA-4C7F-BBEA-A596C58904C3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2" authorId="0" shapeId="0" xr:uid="{A1AC4DCD-F1BA-4A15-A93D-3CBCA3876EFE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3" authorId="0" shapeId="0" xr:uid="{BD0B6611-1C0E-4BBE-9A93-CD998FC75313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3" authorId="0" shapeId="0" xr:uid="{3F695BA0-C9A7-48E8-A436-DD7B1BF15D4E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4" authorId="0" shapeId="0" xr:uid="{98EC5C28-4F1F-4CEA-A8AB-E5F323D11781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4" authorId="0" shapeId="0" xr:uid="{2E05B972-49B8-4D63-9F0E-98B51E5FAD05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19" authorId="0" shapeId="0" xr:uid="{4EF89625-455F-4804-A8B9-A7C0DE9D9E48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" authorId="0" shapeId="0" xr:uid="{55E56493-2F37-4382-8D27-96B83A93B3ED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24" authorId="0" shapeId="0" xr:uid="{1EF2A6BF-D426-41FE-A64D-C72A213E3719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35" authorId="0" shapeId="0" xr:uid="{FD0C1626-AF4F-4A29-BBC4-2A9D82A95ED6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44" authorId="0" shapeId="0" xr:uid="{7E58CC26-8FD2-4BC5-99F2-203D6FC02E32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8" authorId="0" shapeId="0" xr:uid="{764E4A80-FA1C-4561-AB1C-E422D3481E41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5A0BF88-5292-4627-9905-2B98FAAC824D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567EF83E-2E3E-4307-BCB9-0A02CC8C5B09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8" authorId="0" shapeId="0" xr:uid="{01ABFB79-70FB-4D76-AF35-18E2A51A713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DA921D78-81B8-4C59-8514-B562084C9ABC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 xr:uid="{65A79B60-F128-4B97-84ED-92C3E38F0A2E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4" authorId="0" shapeId="0" xr:uid="{52AD7471-29F1-4025-BFB0-4AD19BCCBF28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9" authorId="0" shapeId="0" xr:uid="{A2A29CDF-F039-4D9F-9CBF-253EACCC8A79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0" authorId="0" shapeId="0" xr:uid="{B25D9D8B-3F8E-497B-BBBC-B6B30D54F61C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1" authorId="0" shapeId="0" xr:uid="{52E9842D-BA3B-491B-AFCA-D5B876715358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 shapeId="0" xr:uid="{3FAE4139-4FF4-41EA-9EF1-5E2C1A4456DB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ACE4110A-51FA-4642-B21A-2D4F8BF869C7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4" authorId="0" shapeId="0" xr:uid="{C0C43162-8E02-425D-B1CD-E3D37849B34C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6" authorId="0" shapeId="0" xr:uid="{45AC8602-8F99-4439-802C-E063DE9A7729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8" authorId="0" shapeId="0" xr:uid="{2B0B1116-61FC-4DB1-BDA2-593EFB08EE1F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3" authorId="0" shapeId="0" xr:uid="{AED8DD5B-7A7D-4BE0-B538-2D1BD5298575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4" authorId="0" shapeId="0" xr:uid="{6D66275A-CEC1-4594-B524-8FA1239ED6BD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5" authorId="0" shapeId="0" xr:uid="{EAED6A1A-69C1-44AC-8CAD-1AF5ADCCC047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76" authorId="0" shapeId="0" xr:uid="{0F2983A3-E07D-4035-968C-5B611B808081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1" authorId="0" shapeId="0" xr:uid="{997BB4BF-9930-4165-848F-C317117FAAE3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2" authorId="0" shapeId="0" xr:uid="{C064895B-C6ED-49E8-8D46-01F9A1157472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8" authorId="0" shapeId="0" xr:uid="{71E49891-C155-4288-ADA2-949EDBB8D425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89" authorId="0" shapeId="0" xr:uid="{95EE31F8-AA65-435F-90A9-F18FFBFD40E1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99" authorId="0" shapeId="0" xr:uid="{1A287F4A-962A-4676-9A98-D19A488F43B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9" authorId="0" shapeId="0" xr:uid="{1611EB1A-455E-4540-BA69-9CCE15FD0649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0" authorId="0" shapeId="0" xr:uid="{8BC4B70C-1FF0-422F-A262-4303DCD5AC4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0" authorId="0" shapeId="0" xr:uid="{C83BD292-2029-45ED-9D22-573B20DD9067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1" authorId="0" shapeId="0" xr:uid="{7ACB0A1B-8CE5-45F7-A90D-EB726C55FD2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1" authorId="0" shapeId="0" xr:uid="{83F5C8C4-4A5B-402E-BC4A-996382268394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2" authorId="0" shapeId="0" xr:uid="{3E14E66E-D9C0-49DA-82BA-028A35B9B43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2" authorId="0" shapeId="0" xr:uid="{953009EF-289B-4A7D-B9E2-328621BDA946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3" authorId="0" shapeId="0" xr:uid="{2A200233-0E7C-40A3-8969-B66804BB23CF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3" authorId="0" shapeId="0" xr:uid="{98DE36EF-276F-4A81-BED3-85428FBED207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4" authorId="0" shapeId="0" xr:uid="{D3032F80-13ED-457C-8051-B36AD6C04754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4" authorId="0" shapeId="0" xr:uid="{0807BBEC-83B1-46F2-97CB-F500E34CDE33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5" authorId="0" shapeId="0" xr:uid="{6EC59340-D9F3-413D-897D-9B3C4FD9D7EF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5" authorId="0" shapeId="0" xr:uid="{EF961381-437C-4BD4-B1C2-D21B7B1368DA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6" authorId="0" shapeId="0" xr:uid="{5D0DBF08-1894-4EC5-82A0-4EE4CD247C8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6" authorId="0" shapeId="0" xr:uid="{368B8E90-919C-4802-AF95-762AAB6A6FAA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7" authorId="0" shapeId="0" xr:uid="{24C5DB18-1470-4EA8-8839-BF111758BFC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 shapeId="0" xr:uid="{71D9094F-89CE-49C6-AFD2-09EC430D1D94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 shapeId="0" xr:uid="{C6C194A1-59E3-4AD2-93D4-3DEEF4862F0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 xr:uid="{E5B5B71E-A2DB-4ABB-BD96-D31519F354EE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09" authorId="0" shapeId="0" xr:uid="{C008D577-29C3-4D38-8317-6686406E629C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16" authorId="0" shapeId="0" xr:uid="{B5722D37-EEAC-41E3-9558-848F4D37E09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7" authorId="0" shapeId="0" xr:uid="{7770DA31-F830-46AC-8556-D0CD5CA02B15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8" authorId="0" shapeId="0" xr:uid="{EA5FABBA-AC12-4697-9BA4-5CD3596A5F4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9" authorId="0" shapeId="0" xr:uid="{4DCF7DFC-8DA0-4ADE-BAAC-330C6795E56A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0" authorId="0" shapeId="0" xr:uid="{FA332427-072A-4C97-942F-F668ECC94EC1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1" authorId="0" shapeId="0" xr:uid="{052A9B0E-0AFA-48B3-9A89-F35FEAA2684B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 shapeId="0" xr:uid="{A67DE641-46E4-481B-B432-0B5578710E92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34" authorId="0" shapeId="0" xr:uid="{D91FE97A-2FE3-45CA-9942-3A53105097FC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35" authorId="0" shapeId="0" xr:uid="{79A4D997-A45E-4859-A549-7B71D44D2AB6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36" authorId="0" shapeId="0" xr:uid="{B14F98C0-19EA-4736-8DDF-900C266E5FAB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37" authorId="0" shapeId="0" xr:uid="{2E3B335C-981E-4786-A847-ED863C780104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9" authorId="0" shapeId="0" xr:uid="{436E7314-B733-481D-BC9F-E337929FD0A4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0" authorId="0" shapeId="0" xr:uid="{C6297513-34E7-467A-8A88-85E030ECF135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1" authorId="0" shapeId="0" xr:uid="{5CBDFE9A-366C-4B33-9327-24C015F05029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42" authorId="0" shapeId="0" xr:uid="{B990BDB3-D963-4D86-87E2-026DFE0E2B49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5" authorId="0" shapeId="0" xr:uid="{611B71D0-FDEF-477E-89C8-598106C551AB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1" authorId="0" shapeId="0" xr:uid="{E478AB14-3A49-4B26-85CE-489C8183ACCE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6" authorId="0" shapeId="0" xr:uid="{52769CA5-C657-46AE-983B-BE7E8FEF7E5C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 xr:uid="{5A0D7839-824A-4824-BC60-44902D93E11C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8" authorId="0" shapeId="0" xr:uid="{805B9FD1-57AF-4740-9AF4-F59DD0EB7295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74" authorId="0" shapeId="0" xr:uid="{7C3316CE-52B0-4CAB-9A1B-0AC2BAC0CDA7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77" authorId="0" shapeId="0" xr:uid="{D038B47A-BB30-4D7C-B3B4-F03166F8808C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77" authorId="0" shapeId="0" xr:uid="{534F2482-F50D-4BEC-A471-A142D9F0546C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9" authorId="0" shapeId="0" xr:uid="{971BEDE1-BBB9-49E5-8C0C-B4067E6A01EA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9" authorId="0" shapeId="0" xr:uid="{69338DB0-A803-49BE-90DA-566A8D28438D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1" authorId="0" shapeId="0" xr:uid="{4D33EBEE-B80B-4F4C-A11F-011F4384198D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81" authorId="0" shapeId="0" xr:uid="{BA343FF5-5BF2-4435-84B3-198D1ED97B55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83" authorId="0" shapeId="0" xr:uid="{662F87A4-237C-4B56-ABF9-C8236DD4F1BA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83" authorId="0" shapeId="0" xr:uid="{8734041D-E11B-4744-BB83-66AFEBA5981B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85" authorId="0" shapeId="0" xr:uid="{2AB4071D-F844-4BD0-A67E-51227CEED722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85" authorId="0" shapeId="0" xr:uid="{EFD1CAAF-564D-4B8E-940A-3E6306456AE3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92" authorId="0" shapeId="0" xr:uid="{B0D27FB4-1AEC-4AE5-872B-3A73B6D8D811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97" authorId="0" shapeId="0" xr:uid="{B9E6E6CC-F7F1-4A93-90E7-6F917D9F5918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97" authorId="0" shapeId="0" xr:uid="{72805483-AEB3-47DE-A7B6-F94283C996B8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8" authorId="0" shapeId="0" xr:uid="{1186EC76-E077-41D4-B5A3-51A37F3DEF5F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9" authorId="0" shapeId="0" xr:uid="{01629349-2DFE-420E-A3AE-7D438E3A9A3E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00" authorId="0" shapeId="0" xr:uid="{B0B22D21-D8B6-4ADD-A06F-1666DAC758BF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10" authorId="0" shapeId="0" xr:uid="{64DAEE89-0F88-4AC6-BBD5-DB053C9A362A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0" authorId="0" shapeId="0" xr:uid="{1D86235F-717C-43FE-84C2-45DD170F7629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1" authorId="0" shapeId="0" xr:uid="{92E2942F-D312-42C3-8995-A608A18D31C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1" authorId="0" shapeId="0" xr:uid="{B8FE6CE4-BEC5-45BB-9F1F-E2A18D5772D2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2" authorId="0" shapeId="0" xr:uid="{06BA482E-9432-4CED-BEC0-2FEB2DAFB6B8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2" authorId="0" shapeId="0" xr:uid="{079DFC9E-54B9-421A-A925-A7CD6AB63D7D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3" authorId="0" shapeId="0" xr:uid="{39962391-EE62-42CD-8BFD-AAC3668E059E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3" authorId="0" shapeId="0" xr:uid="{4C5F9994-3C7B-4120-9817-09089CCE335E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4" authorId="0" shapeId="0" xr:uid="{77D98E16-CB56-4C85-A686-106153EB920A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4" authorId="0" shapeId="0" xr:uid="{AEC2CD77-9886-45AE-B116-1D55F5BDD553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19" authorId="0" shapeId="0" xr:uid="{AEE93AF0-C9E1-46E5-A104-D4A49E984DE7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" authorId="0" shapeId="0" xr:uid="{63FBFF35-A7C7-4FB4-B6BB-1FFD4083E695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24" authorId="0" shapeId="0" xr:uid="{C082F0F7-0F27-4B19-B00A-7C849CA604AD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35" authorId="0" shapeId="0" xr:uid="{0FB9FE87-26A3-4F08-B451-742D4667CBC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44" authorId="0" shapeId="0" xr:uid="{BE2AD45D-44C5-40A1-B947-9E37BBC4F6C1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8" authorId="0" shapeId="0" xr:uid="{00000000-0006-0000-03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D22C14CE-CA4E-4CF1-A4C9-C30B63D76566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8" authorId="0" shapeId="0" xr:uid="{00000000-0006-0000-03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300-00000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4" authorId="0" shapeId="0" xr:uid="{00000000-0006-0000-0300-000007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0" authorId="0" shapeId="0" xr:uid="{A26572B1-506F-4C2B-A3EA-2805BC641D5D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1" authorId="0" shapeId="0" xr:uid="{00000000-0006-0000-0300-000009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2" authorId="0" shapeId="0" xr:uid="{EBFCF1A4-E4FF-4690-BB01-9D60087470ED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" authorId="0" shapeId="0" xr:uid="{28D470F0-9FAD-4A0E-95E8-15E9628933DB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5" authorId="0" shapeId="0" xr:uid="{00000000-0006-0000-0300-00000B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7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9" authorId="0" shapeId="0" xr:uid="{00000000-0006-0000-0300-00000D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4" authorId="0" shapeId="0" xr:uid="{00000000-0006-0000-0300-00000E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5" authorId="0" shapeId="0" xr:uid="{00000000-0006-0000-0300-00000F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6" authorId="0" shapeId="0" xr:uid="{00000000-0006-0000-0300-000010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77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2" authorId="0" shapeId="0" xr:uid="{60E41063-6DFA-4DB6-BB8B-22A923614771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3" authorId="0" shapeId="0" xr:uid="{56198E07-E16D-420B-B0F9-DA9D67FD97D1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8" authorId="0" shapeId="0" xr:uid="{00000000-0006-0000-0300-000014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89" authorId="0" shapeId="0" xr:uid="{00000000-0006-0000-0300-000015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99" authorId="0" shapeId="0" xr:uid="{00000000-0006-0000-0300-00001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9" authorId="0" shapeId="0" xr:uid="{00000000-0006-0000-0300-000017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0" authorId="0" shapeId="0" xr:uid="{00000000-0006-0000-0300-000018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0" authorId="0" shapeId="0" xr:uid="{00000000-0006-0000-0300-000019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1" authorId="0" shapeId="0" xr:uid="{00000000-0006-0000-0300-00001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1" authorId="0" shapeId="0" xr:uid="{00000000-0006-0000-0300-00001B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2" authorId="0" shapeId="0" xr:uid="{00000000-0006-0000-0300-00001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2" authorId="0" shapeId="0" xr:uid="{00000000-0006-0000-0300-00001D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3" authorId="0" shapeId="0" xr:uid="{00000000-0006-0000-0300-00001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3" authorId="0" shapeId="0" xr:uid="{00000000-0006-0000-0300-00001F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4" authorId="0" shapeId="0" xr:uid="{00000000-0006-0000-0300-00002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4" authorId="0" shapeId="0" xr:uid="{00000000-0006-0000-0300-000021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5" authorId="0" shapeId="0" xr:uid="{00000000-0006-0000-0300-00002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5" authorId="0" shapeId="0" xr:uid="{00000000-0006-0000-0300-000023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6" authorId="0" shapeId="0" xr:uid="{00000000-0006-0000-0300-00002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6" authorId="0" shapeId="0" xr:uid="{00000000-0006-0000-0300-000025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7" authorId="0" shapeId="0" xr:uid="{00000000-0006-0000-0300-00002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 shapeId="0" xr:uid="{00000000-0006-0000-0300-000027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 shapeId="0" xr:uid="{00000000-0006-0000-0300-000028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 xr:uid="{00000000-0006-0000-0300-000029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09" authorId="0" shapeId="0" xr:uid="{00000000-0006-0000-0300-00002A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16" authorId="0" shapeId="0" xr:uid="{00000000-0006-0000-03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7" authorId="0" shapeId="0" xr:uid="{00000000-0006-0000-0300-00002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8" authorId="0" shapeId="0" xr:uid="{00000000-0006-0000-03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9" authorId="0" shapeId="0" xr:uid="{00000000-0006-0000-0300-00002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0" authorId="0" shapeId="0" xr:uid="{00000000-0006-0000-03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1" authorId="0" shapeId="0" xr:uid="{00000000-0006-0000-0300-00003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 shapeId="0" xr:uid="{25786AE6-A074-4115-9382-584B4366A48B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34" authorId="0" shapeId="0" xr:uid="{EE84D088-83E7-414C-9712-A065488E4893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35" authorId="0" shapeId="0" xr:uid="{00000000-0006-0000-0300-000033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36" authorId="0" shapeId="0" xr:uid="{00000000-0006-0000-0300-000034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3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9" authorId="0" shapeId="0" xr:uid="{00000000-0006-0000-0300-000036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0" authorId="0" shapeId="0" xr:uid="{00000000-0006-0000-0300-000037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1" authorId="0" shapeId="0" xr:uid="{00000000-0006-0000-0300-000038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42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5" authorId="0" shapeId="0" xr:uid="{00000000-0006-0000-0300-00003A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1" authorId="0" shapeId="0" xr:uid="{3EA85BBF-E3F6-46EC-83A1-125A4E48D1F1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6" authorId="0" shapeId="0" xr:uid="{8E30B8E6-1071-452C-868A-653CEAF59905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 xr:uid="{A8C8047D-4417-4DA2-A8DD-71C2A6C0C76D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8" authorId="0" shapeId="0" xr:uid="{00000000-0006-0000-0300-00003D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74" authorId="0" shapeId="0" xr:uid="{00000000-0006-0000-0300-00003E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77" authorId="0" shapeId="0" xr:uid="{35500E24-C01C-402F-AEEA-1B7B802676C8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77" authorId="0" shapeId="0" xr:uid="{9E67C448-8166-423F-BF6C-9AE69CBA10EB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9" authorId="0" shapeId="0" xr:uid="{00000000-0006-0000-0300-000041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9" authorId="0" shapeId="0" xr:uid="{00000000-0006-0000-0300-000042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1" authorId="0" shapeId="0" xr:uid="{00000000-0006-0000-0300-000043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81" authorId="0" shapeId="0" xr:uid="{00000000-0006-0000-0300-000044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83" authorId="0" shapeId="0" xr:uid="{00000000-0006-0000-0300-000045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83" authorId="0" shapeId="0" xr:uid="{00000000-0006-0000-0300-000046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85" authorId="0" shapeId="0" xr:uid="{00000000-0006-0000-0300-000047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85" authorId="0" shapeId="0" xr:uid="{00000000-0006-0000-0300-000048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92" authorId="0" shapeId="0" xr:uid="{03A6F664-2DA0-4E0E-A055-78184C96C83F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97" authorId="0" shapeId="0" xr:uid="{00000000-0006-0000-0300-00004A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97" authorId="0" shapeId="0" xr:uid="{00000000-0006-0000-0300-00004B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8" authorId="0" shapeId="0" xr:uid="{00000000-0006-0000-0300-00004C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9" authorId="0" shapeId="0" xr:uid="{00000000-0006-0000-0300-00004D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00" authorId="0" shapeId="0" xr:uid="{00000000-0006-0000-0300-00004E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10" authorId="0" shapeId="0" xr:uid="{DF9FED04-8EA7-4382-B21C-2F3CD0E98038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0" authorId="0" shapeId="0" xr:uid="{00000000-0006-0000-0300-000050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1" authorId="0" shapeId="0" xr:uid="{48DB3871-9194-4B8A-B61E-4B5515CA3D2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1" authorId="0" shapeId="0" xr:uid="{00000000-0006-0000-0300-000052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2" authorId="0" shapeId="0" xr:uid="{920CD8E4-F4D6-4AC6-9059-4EB7F7820A6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2" authorId="0" shapeId="0" xr:uid="{BE3195D4-6567-431E-992B-A3AF678FEC43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3" authorId="0" shapeId="0" xr:uid="{00000000-0006-0000-0300-000055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3" authorId="0" shapeId="0" xr:uid="{00000000-0006-0000-0300-000056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4" authorId="0" shapeId="0" xr:uid="{00000000-0006-0000-0300-000057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4" authorId="0" shapeId="0" xr:uid="{00000000-0006-0000-0300-000058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19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" authorId="0" shapeId="0" xr:uid="{00000000-0006-0000-0300-00005A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24" authorId="0" shapeId="0" xr:uid="{00000000-0006-0000-0300-00005B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35" authorId="0" shapeId="0" xr:uid="{00000000-0006-0000-0300-00005C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44" authorId="0" shapeId="0" xr:uid="{00000000-0006-0000-0300-00005D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5" authorId="0" shapeId="0" xr:uid="{00000000-0006-0000-04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4DB640F3-E6A8-4875-B209-70F1682D7A1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8" authorId="0" shapeId="0" xr:uid="{2A024259-6871-4D4A-86B1-60BF6C1761CA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9" authorId="0" shapeId="0" xr:uid="{8E86C1E3-25A8-4D55-A769-1EA49D6D141F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5E92AD4B-4B12-4FE1-962E-667D0F9DE9D5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2" authorId="0" shapeId="0" xr:uid="{00000000-0006-0000-0400-000006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4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6" authorId="0" shapeId="0" xr:uid="{00000000-0006-0000-04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2" authorId="0" shapeId="0" xr:uid="{00000000-0006-0000-0400-000009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3" authorId="0" shapeId="0" xr:uid="{00000000-0006-0000-0400-00000A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4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79" authorId="0" shapeId="0" xr:uid="{978AC6CB-8162-4E35-9314-848A193AF2E6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4" authorId="0" shapeId="0" xr:uid="{0E7F1213-6C43-44B5-A922-72AC0967EAB1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94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5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6" authorId="0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7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8" authorId="0" shapeId="0" xr:uid="{00000000-0006-0000-0400-00001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9" authorId="0" shapeId="0" xr:uid="{00000000-0006-0000-0400-00001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0" authorId="0" shapeId="0" xr:uid="{52F3A6C1-5630-43FB-AF98-B87BE0BE59D8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12" authorId="0" shapeId="0" xr:uid="{E0783298-D877-4F07-96A2-7DF8FDA193AE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13" authorId="0" shapeId="0" xr:uid="{00000000-0006-0000-0400-000016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14" authorId="0" shapeId="0" xr:uid="{00000000-0006-0000-0400-000017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15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7" authorId="0" shapeId="0" xr:uid="{00000000-0006-0000-0400-000019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18" authorId="0" shapeId="0" xr:uid="{00000000-0006-0000-0400-00001A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19" authorId="0" shapeId="0" xr:uid="{00000000-0006-0000-0400-00001B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20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3" authorId="0" shapeId="0" xr:uid="{00000000-0006-0000-0400-00001D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29" authorId="0" shapeId="0" xr:uid="{17AC8B0C-4949-4C21-B8D4-974377EA54D9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4" authorId="0" shapeId="0" xr:uid="{970E8B90-C5E0-4F0F-B07E-52CCEE1F6A98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5" authorId="0" shapeId="0" xr:uid="{861EAE34-5EB9-4B4E-9955-5241369F6377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46" authorId="0" shapeId="0" xr:uid="{00000000-0006-0000-0400-000020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52" authorId="0" shapeId="0" xr:uid="{FCC46BFD-87D1-4542-91BF-B04A29F8A247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55" authorId="0" shapeId="0" xr:uid="{7C096A73-3E5C-4814-AF88-B4665285456C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55" authorId="0" shapeId="0" xr:uid="{D51EEC2E-79D4-4E07-A01D-AC020D3B4803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57" authorId="0" shapeId="0" xr:uid="{6DCFD064-A866-4799-9AEF-2B8E9E1AE68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57" authorId="0" shapeId="0" xr:uid="{A24264F1-9FCB-4AFA-A7BB-9518AB8B0E6B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59" authorId="0" shapeId="0" xr:uid="{40B8186F-8297-4170-A201-F42B3D2311E1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59" authorId="0" shapeId="0" xr:uid="{E0300AA2-A808-4923-9297-167473E4166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61" authorId="0" shapeId="0" xr:uid="{C689BB5F-B294-46A5-8560-6B52C202AA78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61" authorId="0" shapeId="0" xr:uid="{2C6CA621-7869-45DF-8715-735B70B8C1EE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63" authorId="0" shapeId="0" xr:uid="{6AA25BE8-3418-41DB-8E1B-3535D6BAB708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63" authorId="0" shapeId="0" xr:uid="{6D68FA71-FAAB-4133-9908-AA0718666C99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70" authorId="0" shapeId="0" xr:uid="{8FFC17BB-4838-4DE0-ABF4-F1B4E2AFC3D5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74" authorId="0" shapeId="0" xr:uid="{00000000-0006-0000-0400-00002D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74" authorId="0" shapeId="0" xr:uid="{00000000-0006-0000-0400-00002E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75" authorId="0" shapeId="0" xr:uid="{00000000-0006-0000-0400-00002F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76" authorId="0" shapeId="0" xr:uid="{00000000-0006-0000-0400-000030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77" authorId="0" shapeId="0" xr:uid="{00000000-0006-0000-0400-000031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187" authorId="0" shapeId="0" xr:uid="{90A47ABB-96CF-45B7-99B3-FB5FC9EC2277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87" authorId="0" shapeId="0" xr:uid="{00000000-0006-0000-0400-000033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88" authorId="0" shapeId="0" xr:uid="{8B1FF428-E389-405F-8B28-84068634729D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88" authorId="0" shapeId="0" xr:uid="{00000000-0006-0000-0400-000035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89" authorId="0" shapeId="0" xr:uid="{613D56EA-B1EC-4073-97C2-B78C93D2241D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89" authorId="0" shapeId="0" xr:uid="{72462B07-7957-4C70-A4CF-4CB23BBFFA4F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0" authorId="0" shapeId="0" xr:uid="{00000000-0006-0000-0400-00003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0" authorId="0" shapeId="0" xr:uid="{00000000-0006-0000-0400-00003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1" authorId="0" shapeId="0" xr:uid="{00000000-0006-0000-0400-00003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1" authorId="0" shapeId="0" xr:uid="{00000000-0006-0000-0400-00003B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196" authorId="0" shapeId="0" xr:uid="{00000000-0006-0000-0400-00003C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" authorId="0" shapeId="0" xr:uid="{00000000-0006-0000-0400-00003D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01" authorId="0" shapeId="0" xr:uid="{00000000-0006-0000-0400-00003E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12" authorId="0" shapeId="0" xr:uid="{00000000-0006-0000-0400-00003F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21" authorId="0" shapeId="0" xr:uid="{00000000-0006-0000-0400-000040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8" authorId="0" shapeId="0" xr:uid="{E1E823D1-9FC9-48FF-B3E6-F3F8F703593F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 xr:uid="{3066D9AD-A5EC-4133-9E29-326EA92D780B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 xr:uid="{5E84BC38-DE0C-449F-A752-89EE74890059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5" authorId="0" shapeId="0" xr:uid="{015C10E4-DB0C-4509-9BE9-2EAE96C7B09D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6" authorId="0" shapeId="0" xr:uid="{60E611E1-49D8-42DF-B834-94C6E9C72B17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7" authorId="0" shapeId="0" xr:uid="{1BC8FCB8-932A-41D3-8681-CD7D440E6FB1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 xr:uid="{5751590D-38CE-4F41-B4F9-630354FE9059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59" authorId="0" shapeId="0" xr:uid="{122D1CDB-B7D4-4137-82F7-8D8C720D9E16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1" authorId="0" shapeId="0" xr:uid="{3F60172A-56E8-4675-A92A-7AEBC2A8F794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3" authorId="0" shapeId="0" xr:uid="{2966B2DF-6E89-4F1E-8BDC-462F949CBF4A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8" authorId="0" shapeId="0" xr:uid="{A03C25DE-648D-445E-8A36-0D72124888B9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9" authorId="0" shapeId="0" xr:uid="{E01E5F20-68D1-4DD4-9B7D-9490A647AC68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0" authorId="0" shapeId="0" xr:uid="{8F123CB6-B667-48B0-8B9C-3592AB7918D3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1" authorId="0" shapeId="0" xr:uid="{8BF63143-1B7E-437B-8BC7-BC524EF26A0F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 xr:uid="{2EF900FD-394D-497B-8620-8C58A9C975EB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3" authorId="0" shapeId="0" xr:uid="{075CAE94-255A-41C8-A943-F47A775453A9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5" authorId="0" shapeId="0" xr:uid="{C39BDAF1-2A03-4285-A65B-8ED95879CE76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7" authorId="0" shapeId="0" xr:uid="{FEA9EF9D-1CB7-449C-A18D-CD48CE816413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3" authorId="0" shapeId="0" xr:uid="{02CE5B09-0A89-4202-AFC1-EE38DBA3C233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84" authorId="0" shapeId="0" xr:uid="{A6F473D0-923A-48F3-83DA-891FD5BC95B3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5" authorId="0" shapeId="0" xr:uid="{20C97A75-55E5-40FD-B4F2-E4DB026F25F7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86" authorId="0" shapeId="0" xr:uid="{C8567B09-595C-40A5-BF46-3E74053CA928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91" authorId="0" shapeId="0" xr:uid="{8B34FF50-CB8B-4F90-BD23-9239BCFC713D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2" authorId="0" shapeId="0" xr:uid="{F354C093-820C-4BDD-AFC4-30855F4FF018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7" authorId="0" shapeId="0" xr:uid="{497B0E94-F2F4-4C55-BD39-A67880078908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07" authorId="0" shapeId="0" xr:uid="{E1C9F4D7-6F19-463B-9E0B-F060941CBCD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 shapeId="0" xr:uid="{9220AE78-2F16-42CF-AEB5-096FADC5D72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 shapeId="0" xr:uid="{F106FFDD-878C-43EB-AD36-265F42EC32E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 xr:uid="{03309F07-633E-4978-8B47-95D052B14783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9" authorId="0" shapeId="0" xr:uid="{82614EB3-EBD1-45AC-AAA0-CEDC04FFEAF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9" authorId="0" shapeId="0" xr:uid="{8DCC654F-34D2-48E1-9EDC-767759D09221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0" authorId="0" shapeId="0" xr:uid="{74E0A3BC-3496-4212-9F20-D38603C74903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0" authorId="0" shapeId="0" xr:uid="{47AA7E40-B764-4985-946D-CD1D70507ABD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1" authorId="0" shapeId="0" xr:uid="{E67B64F8-7CE6-403D-BDDE-D897224B053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1" authorId="0" shapeId="0" xr:uid="{9784B491-1173-4D31-B011-5D756FA8AF4C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2" authorId="0" shapeId="0" xr:uid="{865795EB-2429-43D3-B868-A2CA5A6B3C49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 shapeId="0" xr:uid="{681DA6AC-591E-4CD5-A98B-24582A56A6B5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3" authorId="0" shapeId="0" xr:uid="{A828B2A6-3520-448F-B0E6-9D0CA686317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 shapeId="0" xr:uid="{19F5E47E-5727-478A-B0BB-B5F2892B4D9C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 shapeId="0" xr:uid="{35EB0746-84F5-4C87-B931-C69E9AFC5ACA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 shapeId="0" xr:uid="{9CAD6303-8F66-4366-9742-153140C7F959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5" authorId="0" shapeId="0" xr:uid="{1C8BE302-E1CB-4C11-9799-EE7CE381A044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 shapeId="0" xr:uid="{036DF748-9910-417C-B3A3-6FE423B59ECE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6" authorId="0" shapeId="0" xr:uid="{8798C0FD-6F2D-4FD8-8EED-D6181039B228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6" authorId="0" shapeId="0" xr:uid="{85FC16CB-51DD-42CC-8D8F-BF27860A11CE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17" authorId="0" shapeId="0" xr:uid="{9AC8D26D-5AB5-4523-B0CA-84F36EE9DFE7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24" authorId="0" shapeId="0" xr:uid="{DC83F765-93AB-480D-9B5B-D5A4B1F87E9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5" authorId="0" shapeId="0" xr:uid="{C22E6D5F-AC9D-43A4-B60D-99D6AB434DC6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6" authorId="0" shapeId="0" xr:uid="{68699FE3-2D89-47DA-B45C-20B7D7CDFA31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7" authorId="0" shapeId="0" xr:uid="{A940ED42-02BF-466B-9697-310810EBC65F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8" authorId="0" shapeId="0" xr:uid="{DFF12B96-1A70-479A-A961-09333F70419B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9" authorId="0" shapeId="0" xr:uid="{C05B988F-DFF8-4CA3-AA69-DC7A7C7ED4F4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 shapeId="0" xr:uid="{C6BE4B3C-9270-4519-8193-8A5CC901555B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42" authorId="0" shapeId="0" xr:uid="{CC502DDB-C12A-49F3-822E-699F71F878E1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43" authorId="0" shapeId="0" xr:uid="{46725518-C055-4434-9398-F6ACDE9C2529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44" authorId="0" shapeId="0" xr:uid="{8FC4581C-9183-4587-A68F-63F88330EBB2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45" authorId="0" shapeId="0" xr:uid="{CB186648-95AD-4E5E-82CB-180255BF0D71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7" authorId="0" shapeId="0" xr:uid="{2E2D348B-F10C-43B0-B4BC-CEEB7AC2814E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8" authorId="0" shapeId="0" xr:uid="{B7E5D18A-9B9C-4FC1-8342-48D7FA3FEC5D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9" authorId="0" shapeId="0" xr:uid="{BD46ADBC-6D7D-454B-B554-E9D7F2997F1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50" authorId="0" shapeId="0" xr:uid="{7F3A494C-112F-49FE-B824-A8CF0FD6E0A9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2" authorId="0" shapeId="0" xr:uid="{E4CE66D4-045D-44E8-A86A-63C0D7BCD5B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53" authorId="0" shapeId="0" xr:uid="{A1EE3FC3-0265-4D8A-8B54-B4558FEB32E7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54" authorId="0" shapeId="0" xr:uid="{DA672E9F-5903-46BE-B0C4-3F9C7FB2B22C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55" authorId="0" shapeId="0" xr:uid="{6B279DFB-6259-4EA5-991F-5B1DF68EFEFF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8" authorId="0" shapeId="0" xr:uid="{21823F29-6200-4FF2-B89F-C5CD3C3A1CB3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64" authorId="0" shapeId="0" xr:uid="{AEF8DE19-41B5-484A-B6DB-95D1EE771DA2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9" authorId="0" shapeId="0" xr:uid="{201157E4-043A-4ABB-83F4-2FCBAB66CB95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" authorId="0" shapeId="0" xr:uid="{BC3031B0-79EC-45D5-BC6C-0D3066EAFE9A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90" authorId="0" shapeId="0" xr:uid="{0CBB2186-17C3-4B4C-8302-85335EB69276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93" authorId="0" shapeId="0" xr:uid="{A2B893A6-E798-43A9-AB43-DF916BB82221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93" authorId="0" shapeId="0" xr:uid="{3CA58810-5E12-4F7B-B439-7F315208A202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95" authorId="0" shapeId="0" xr:uid="{5CF9C9AE-0AA1-429E-BE9D-FC872DE55C59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95" authorId="0" shapeId="0" xr:uid="{26DC4D42-F487-4275-B9DD-D6528F47C56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97" authorId="0" shapeId="0" xr:uid="{5AFD88BE-8955-49D0-89FD-828A5B6CDF1A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97" authorId="0" shapeId="0" xr:uid="{EEDCF183-B131-48D0-987C-2286F59566CA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99" authorId="0" shapeId="0" xr:uid="{9F82276B-320F-433F-9DAC-13A67D2A5E1E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99" authorId="0" shapeId="0" xr:uid="{E17AE0BB-7DCF-45B8-9D5E-55DDC3448D48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01" authorId="0" shapeId="0" xr:uid="{E0B4C5B9-E861-46FC-8FB3-147DB1EADA35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01" authorId="0" shapeId="0" xr:uid="{BC3E7C49-32BF-45CC-8A62-664CDB07D7A5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08" authorId="0" shapeId="0" xr:uid="{458B3827-469E-4212-819C-661A040D87B1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13" authorId="0" shapeId="0" xr:uid="{9DE0E98F-1FBD-40F9-BF2F-4514799F08BF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3" authorId="0" shapeId="0" xr:uid="{8EFF9C4A-9442-45C4-AA31-0D548F88C439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4" authorId="0" shapeId="0" xr:uid="{DC9EF1B8-B92D-4EEE-8881-D26790482C56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4" authorId="0" shapeId="0" xr:uid="{B5FA14AC-315E-4504-979B-439C6397A2AA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5" authorId="0" shapeId="0" xr:uid="{7CC04241-38BA-4118-83B3-17A11642A543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16" authorId="0" shapeId="0" xr:uid="{01F8D506-7A10-43AD-9625-99688CB4B22C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D217" authorId="0" shapeId="0" xr:uid="{740D2949-C0EE-45CE-97F2-7C43B434BAED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18" authorId="0" shapeId="0" xr:uid="{0C191EB4-B999-4404-9A79-876FBBE6674C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28" authorId="0" shapeId="0" xr:uid="{014715F2-0289-44B2-A0E5-F6FB56040014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8" authorId="0" shapeId="0" xr:uid="{C074186D-63A9-4922-AEB6-FB7994E22B37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9" authorId="0" shapeId="0" xr:uid="{FD37EDD2-E58B-4235-85FD-979303243222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9" authorId="0" shapeId="0" xr:uid="{C89F80DD-F81A-46E5-A357-6509FA66442A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0" authorId="0" shapeId="0" xr:uid="{48009341-FC56-453B-9F7A-809EE2ACD463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0" authorId="0" shapeId="0" xr:uid="{95FBC4FA-EEED-4D96-8D39-54F301CD62FB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35" authorId="0" shapeId="0" xr:uid="{93E13412-2D24-4A66-9042-4E2A0C408408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8" authorId="0" shapeId="0" xr:uid="{4B63D4E3-85C0-4EE2-80B2-DCB6F41D9B5D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40" authorId="0" shapeId="0" xr:uid="{F07B9F91-46C2-4D0F-A2E4-520E9339AA1F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51" authorId="0" shapeId="0" xr:uid="{DCF15A47-77DF-409D-9F00-9A7741B16DBB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62" authorId="0" shapeId="0" xr:uid="{B0C8ACF3-9126-4A60-86F3-1F2118C7D5A8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6" authorId="0" shapeId="0" xr:uid="{00000000-0006-0000-05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44A7027D-CF87-4AAD-B5B6-47763926DC97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 shapeId="0" xr:uid="{7E38C750-F635-478A-867E-FF546638CB9B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6" authorId="0" shapeId="0" xr:uid="{71AF6D52-BD72-4F06-BDB5-5F1CC0AA418A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7" authorId="0" shapeId="0" xr:uid="{93EF1DDF-BC37-435C-A0D1-C42C1F67B511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 xr:uid="{FD2391C1-A061-42EB-A908-0E28FEA82A46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0" authorId="0" shapeId="0" xr:uid="{00000000-0006-0000-0500-000006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2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 shapeId="0" xr:uid="{00000000-0006-0000-05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0" authorId="0" shapeId="0" xr:uid="{00000000-0006-0000-0500-000009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1" authorId="0" shapeId="0" xr:uid="{00000000-0006-0000-0500-00000A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2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77" authorId="0" shapeId="0" xr:uid="{A7518AAF-6359-457D-97E6-F83A6B4F2739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2" authorId="0" shapeId="0" xr:uid="{00000000-0006-0000-0500-00000D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92" authorId="0" shapeId="0" xr:uid="{00000000-0006-0000-0500-00000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3" authorId="0" shapeId="0" xr:uid="{00000000-0006-0000-0500-00000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4" authorId="0" shapeId="0" xr:uid="{00000000-0006-0000-0500-00001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5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6" authorId="0" shapeId="0" xr:uid="{00000000-0006-0000-0500-00001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7" authorId="0" shapeId="0" xr:uid="{00000000-0006-0000-0500-00001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8" authorId="0" shapeId="0" xr:uid="{00000000-0006-0000-0500-000014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10" authorId="0" shapeId="0" xr:uid="{15D71E0A-6A40-40B4-9320-90E6401A13C4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11" authorId="0" shapeId="0" xr:uid="{E4E867CD-4948-433B-96CB-9397EE593186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12" authorId="0" shapeId="0" xr:uid="{EF0A6CCA-099C-407E-A65F-0D0E5559D3FE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13" authorId="0" shapeId="0" xr:uid="{419FB054-5891-4D9C-AEC6-D5270DBED32A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 xr:uid="{8FE5DCE0-1468-4D01-9B8B-DC9ED3B920E9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16" authorId="0" shapeId="0" xr:uid="{6D43337C-BFCC-41CF-BEED-D06CF0E56DBF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17" authorId="0" shapeId="0" xr:uid="{8C086410-41FE-456A-8457-5BF1DC854E19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18" authorId="0" shapeId="0" xr:uid="{03F773C4-761C-4767-88B1-CD9AE0918BEE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0" authorId="0" shapeId="0" xr:uid="{600BF8BC-83CB-4D7B-9BD0-3B2105336E7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21" authorId="0" shapeId="0" xr:uid="{4BB7C1B0-D7F8-4039-8301-DF5908D3FFA3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22" authorId="0" shapeId="0" xr:uid="{4997E797-3F0D-4F2C-A743-D4A5F6097A6F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23" authorId="0" shapeId="0" xr:uid="{205E7B5D-01DD-4510-B6AF-C4B6AC686617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5" authorId="0" shapeId="0" xr:uid="{B1E12F49-CA37-4C80-8E77-B5E226E82F33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26" authorId="0" shapeId="0" xr:uid="{06B4619E-470A-4D88-B9BB-6DF38E0FFCEE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27" authorId="0" shapeId="0" xr:uid="{878D7A6B-1760-481A-A60D-F78702728917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28" authorId="0" shapeId="0" xr:uid="{DB3C7163-43C0-4770-8DEF-3EF44A215002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" authorId="0" shapeId="0" xr:uid="{1E304938-71F1-437A-8B6E-9D221B04935B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37" authorId="0" shapeId="0" xr:uid="{B8532A03-D27E-44F6-AE2F-F1A32D236CC1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2" authorId="0" shapeId="0" xr:uid="{789ED162-8FB7-4E5E-A42D-23846765E854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3" authorId="0" shapeId="0" xr:uid="{7FF88483-3AA1-4B18-91A4-74894BF82739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4" authorId="0" shapeId="0" xr:uid="{00000000-0006-0000-0500-000020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70" authorId="0" shapeId="0" xr:uid="{00000000-0006-0000-0500-000021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73" authorId="0" shapeId="0" xr:uid="{00000000-0006-0000-0500-000022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73" authorId="0" shapeId="0" xr:uid="{DB9A208F-76E0-4FD0-B286-F4B60DA35E4F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5" authorId="0" shapeId="0" xr:uid="{00000000-0006-0000-0500-000024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5" authorId="0" shapeId="0" xr:uid="{00000000-0006-0000-0500-000025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77" authorId="0" shapeId="0" xr:uid="{00000000-0006-0000-0500-000026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77" authorId="0" shapeId="0" xr:uid="{00000000-0006-0000-0500-000027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79" authorId="0" shapeId="0" xr:uid="{00000000-0006-0000-0500-000028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79" authorId="0" shapeId="0" xr:uid="{00000000-0006-0000-0500-000029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81" authorId="0" shapeId="0" xr:uid="{00000000-0006-0000-0500-00002A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81" authorId="0" shapeId="0" xr:uid="{00000000-0006-0000-0500-00002B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88" authorId="0" shapeId="0" xr:uid="{00000000-0006-0000-0500-00002C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93" authorId="0" shapeId="0" xr:uid="{00000000-0006-0000-0500-00002D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93" authorId="0" shapeId="0" xr:uid="{00000000-0006-0000-0500-00002E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4" authorId="0" shapeId="0" xr:uid="{00000000-0006-0000-0500-00002F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5" authorId="0" shapeId="0" xr:uid="{00000000-0006-0000-0500-000030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96" authorId="0" shapeId="0" xr:uid="{00000000-0006-0000-0500-000031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06" authorId="0" shapeId="0" xr:uid="{00000000-0006-0000-0500-000032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6" authorId="0" shapeId="0" xr:uid="{00000000-0006-0000-0500-000033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7" authorId="0" shapeId="0" xr:uid="{00000000-0006-0000-0500-000034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7" authorId="0" shapeId="0" xr:uid="{00000000-0006-0000-0500-000035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8" authorId="0" shapeId="0" xr:uid="{00000000-0006-0000-0500-00003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8" authorId="0" shapeId="0" xr:uid="{00000000-0006-0000-0500-00003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9" authorId="0" shapeId="0" xr:uid="{00000000-0006-0000-0500-00003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9" authorId="0" shapeId="0" xr:uid="{00000000-0006-0000-0500-00003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14" authorId="0" shapeId="0" xr:uid="{00000000-0006-0000-0500-00003A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" authorId="0" shapeId="0" xr:uid="{00000000-0006-0000-0500-00003B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19" authorId="0" shapeId="0" xr:uid="{00000000-0006-0000-0500-00003C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D228" authorId="0" shapeId="0" xr:uid="{00000000-0006-0000-0500-00003D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C236" authorId="0" shapeId="0" xr:uid="{00000000-0006-0000-0500-00003E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46" authorId="0" shapeId="0" xr:uid="{00000000-0006-0000-0500-00003F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Mesquita</author>
  </authors>
  <commentList>
    <comment ref="G3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sharedStrings.xml><?xml version="1.0" encoding="utf-8"?>
<sst xmlns="http://schemas.openxmlformats.org/spreadsheetml/2006/main" count="2768" uniqueCount="561">
  <si>
    <t>hora</t>
  </si>
  <si>
    <t>Adicional de Insalubridade</t>
  </si>
  <si>
    <t>%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</si>
  <si>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</si>
  <si>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</si>
  <si>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</si>
  <si>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</si>
  <si>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</si>
  <si>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</si>
  <si>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</si>
  <si>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</si>
  <si>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</si>
  <si>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</si>
  <si>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</si>
  <si>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</si>
  <si>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</si>
  <si>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</si>
  <si>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</si>
  <si>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</si>
  <si>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</si>
  <si>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</si>
  <si>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</si>
  <si>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</si>
  <si>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</si>
  <si>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</si>
  <si>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</si>
  <si>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</si>
  <si>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</si>
  <si>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</si>
  <si>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</si>
  <si>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</si>
  <si>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</si>
  <si>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</si>
  <si>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</si>
  <si>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</si>
  <si>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</si>
  <si>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</si>
  <si>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</si>
  <si>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</si>
  <si>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</si>
  <si>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</si>
  <si>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</si>
  <si>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</si>
  <si>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</si>
  <si>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</si>
  <si>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</si>
  <si>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</si>
  <si>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</si>
  <si>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</si>
  <si>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</si>
  <si>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</si>
  <si>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</si>
  <si>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</si>
  <si>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</si>
  <si>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</si>
  <si>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</si>
  <si>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</si>
  <si>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</si>
  <si>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</si>
  <si>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</si>
  <si>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</si>
  <si>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</si>
  <si>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</si>
  <si>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</si>
  <si>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</si>
  <si>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</si>
  <si>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</si>
  <si>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</si>
  <si>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</si>
  <si>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</si>
  <si>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</si>
  <si>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</si>
  <si>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</si>
  <si>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</si>
  <si>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</si>
  <si>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</si>
  <si>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</si>
  <si>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</si>
  <si>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</si>
  <si>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</si>
  <si>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</si>
  <si>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</si>
  <si>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</si>
  <si>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</si>
  <si>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</si>
  <si>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</si>
  <si>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</si>
  <si>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</si>
  <si>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</si>
  <si>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</si>
  <si>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</si>
  <si>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</si>
  <si>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</si>
  <si>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</si>
  <si>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</si>
  <si>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</si>
  <si>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</si>
  <si>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</si>
  <si>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</si>
  <si>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</si>
  <si>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hora contabilizada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</si>
  <si>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</si>
  <si>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</si>
  <si>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</si>
  <si>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</si>
  <si>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</si>
  <si>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</si>
  <si>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</si>
  <si>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</si>
  <si>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Custo do chassis</t>
  </si>
  <si>
    <t>Custo do compactador</t>
  </si>
  <si>
    <t>3.1.2. Remuneração do Capital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</si>
  <si>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</si>
  <si>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</si>
  <si>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</si>
  <si>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</si>
  <si>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</si>
  <si>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</si>
  <si>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</si>
  <si>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</si>
  <si>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</si>
  <si>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</si>
  <si>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</si>
  <si>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</si>
  <si>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</si>
  <si>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</si>
  <si>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</si>
  <si>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</si>
  <si>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</si>
  <si>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</si>
  <si>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</si>
  <si>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</si>
  <si>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</si>
  <si>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</si>
  <si>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</si>
  <si>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</si>
  <si>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</si>
  <si>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</si>
  <si>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</si>
  <si>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</si>
  <si>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</si>
  <si>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</si>
  <si>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</si>
  <si>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</si>
  <si>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</si>
  <si>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</si>
  <si>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</si>
  <si>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</si>
  <si>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</si>
  <si>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</si>
  <si>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</si>
  <si>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</si>
  <si>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</si>
  <si>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</si>
  <si>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</si>
  <si>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</si>
  <si>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</si>
  <si>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</si>
  <si>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</si>
  <si>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</si>
  <si>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</si>
  <si>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</si>
  <si>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</si>
  <si>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</si>
  <si>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</si>
  <si>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</si>
  <si>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</si>
  <si>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</si>
  <si>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</si>
  <si>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</si>
  <si>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</si>
  <si>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</si>
  <si>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</si>
  <si>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</si>
  <si>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</si>
  <si>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</si>
  <si>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</si>
  <si>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</si>
  <si>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</si>
  <si>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</si>
  <si>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</si>
  <si>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</si>
  <si>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</si>
  <si>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</si>
  <si>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</si>
  <si>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</si>
  <si>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</si>
  <si>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</si>
  <si>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</si>
  <si>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</si>
  <si>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</si>
  <si>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</si>
  <si>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Licenciamento e Seguro obrigatório</t>
  </si>
  <si>
    <t>Higienização de uniformes e EPIs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</si>
  <si>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</si>
  <si>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</si>
  <si>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</si>
  <si>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</si>
  <si>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</si>
  <si>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</si>
  <si>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</si>
  <si>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</si>
  <si>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</si>
  <si>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</si>
  <si>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</si>
  <si>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</si>
  <si>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</si>
  <si>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</si>
  <si>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</si>
  <si>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</si>
  <si>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</si>
  <si>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</si>
  <si>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</si>
  <si>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</si>
  <si>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</si>
  <si>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</si>
  <si>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</si>
  <si>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</si>
  <si>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</si>
  <si>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</si>
  <si>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</si>
  <si>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</si>
  <si>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</si>
  <si>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</si>
  <si>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 xml:space="preserve">2. Composição dos Encargos Sociais </t>
  </si>
  <si>
    <t>5. Depreciação Referencial TCE/RS (%)</t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</si>
  <si>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</si>
  <si>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</si>
  <si>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</si>
  <si>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</si>
  <si>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</si>
  <si>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</si>
  <si>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</si>
  <si>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</si>
  <si>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</si>
  <si>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</si>
  <si>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</si>
  <si>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</si>
  <si>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Fórmula de cálculo da remuneração de capital: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</si>
  <si>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</si>
  <si>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</si>
  <si>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</si>
  <si>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</si>
  <si>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</si>
  <si>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</si>
  <si>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</si>
  <si>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</si>
  <si>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</si>
  <si>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</si>
  <si>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</si>
  <si>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</si>
  <si>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</si>
  <si>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</si>
  <si>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</si>
  <si>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</si>
  <si>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</si>
  <si>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</si>
  <si>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</si>
  <si>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</si>
  <si>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</si>
  <si>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</si>
  <si>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</si>
  <si>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</si>
  <si>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</si>
  <si>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</si>
  <si>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</si>
  <si>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</si>
  <si>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</si>
  <si>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Depreciação Média</t>
  </si>
  <si>
    <t>1. Preencher somente células em amarelo</t>
  </si>
  <si>
    <t>4. Composição do B.D.I.  (Benefícios e Despesas Indiretas)</t>
  </si>
  <si>
    <t>Item</t>
  </si>
  <si>
    <t>Fórmula para o cálculo do B.D.I.:</t>
  </si>
  <si>
    <t>Indicadores:</t>
  </si>
  <si>
    <t>ROTATIVIDADE TEMPORAL( MESES):</t>
  </si>
  <si>
    <t>CÁLCULO DAS VERBAS INDENIZATÓRIAS DOS EMPREGADOS NO SETOR DE COLETA DE RESÍDUOS SÓLIDOS URBANOS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</si>
  <si>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Acesse o Portal do CAGED no link </t>
    </r>
    <r>
      <rPr>
        <sz val="12"/>
        <color rgb="FF0070C0"/>
        <rFont val="Calibri"/>
        <family val="2"/>
        <scheme val="minor"/>
      </rPr>
      <t xml:space="preserve">http://bi.mte.gov.br/cagedestabelecimento/pages/consulta.xhtml </t>
    </r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</si>
  <si>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Na </t>
    </r>
    <r>
      <rPr>
        <i/>
        <sz val="12"/>
        <rFont val="Calibri"/>
        <family val="2"/>
        <scheme val="minor"/>
      </rPr>
      <t>Especificação da Consulta</t>
    </r>
    <r>
      <rPr>
        <sz val="12"/>
        <rFont val="Calibri"/>
        <family val="2"/>
        <scheme val="minor"/>
      </rPr>
      <t xml:space="preserve">, selecione </t>
    </r>
    <r>
      <rPr>
        <b/>
        <i/>
        <sz val="12"/>
        <rFont val="Calibri"/>
        <family val="2"/>
        <scheme val="minor"/>
      </rPr>
      <t>"Demonstrativo por período"</t>
    </r>
    <r>
      <rPr>
        <sz val="12"/>
        <rFont val="Calibri"/>
        <family val="2"/>
        <scheme val="minor"/>
      </rPr>
      <t xml:space="preserve"> e informe as competências relativas ao período Inicial e Final (últimos 12 meses)</t>
    </r>
  </si>
  <si>
    <r>
      <rPr>
        <b/>
        <sz val="12"/>
        <rFont val="Calibri"/>
        <family val="2"/>
        <scheme val="minor"/>
      </rPr>
      <t>3.</t>
    </r>
    <r>
      <rPr>
        <sz val="12"/>
        <rFont val="Calibri"/>
        <family val="2"/>
        <scheme val="minor"/>
      </rPr>
      <t xml:space="preserve"> Em </t>
    </r>
    <r>
      <rPr>
        <i/>
        <sz val="12"/>
        <rFont val="Calibri"/>
        <family val="2"/>
        <scheme val="minor"/>
      </rPr>
      <t>Nível Geográfico</t>
    </r>
    <r>
      <rPr>
        <sz val="12"/>
        <rFont val="Calibri"/>
        <family val="2"/>
        <scheme val="minor"/>
      </rPr>
      <t xml:space="preserve"> selecione </t>
    </r>
    <r>
      <rPr>
        <b/>
        <i/>
        <sz val="12"/>
        <rFont val="Calibri"/>
        <family val="2"/>
        <scheme val="minor"/>
      </rPr>
      <t>"Unidade da Federação"</t>
    </r>
    <r>
      <rPr>
        <sz val="12"/>
        <rFont val="Calibri"/>
        <family val="2"/>
        <scheme val="minor"/>
      </rPr>
      <t xml:space="preserve"> e marque a opção </t>
    </r>
    <r>
      <rPr>
        <b/>
        <i/>
        <sz val="12"/>
        <rFont val="Calibri"/>
        <family val="2"/>
        <scheme val="minor"/>
      </rPr>
      <t>"Rio Grande do Sul"</t>
    </r>
  </si>
  <si>
    <r>
      <rPr>
        <b/>
        <sz val="12"/>
        <rFont val="Calibri"/>
        <family val="2"/>
        <scheme val="minor"/>
      </rPr>
      <t>4.</t>
    </r>
    <r>
      <rPr>
        <sz val="12"/>
        <rFont val="Calibri"/>
        <family val="2"/>
        <scheme val="minor"/>
      </rPr>
      <t xml:space="preserve"> Em </t>
    </r>
    <r>
      <rPr>
        <i/>
        <sz val="12"/>
        <rFont val="Calibri"/>
        <family val="2"/>
        <scheme val="minor"/>
      </rPr>
      <t>Nível Setorial</t>
    </r>
    <r>
      <rPr>
        <sz val="12"/>
        <rFont val="Calibri"/>
        <family val="2"/>
        <scheme val="minor"/>
      </rPr>
      <t xml:space="preserve"> selecione </t>
    </r>
    <r>
      <rPr>
        <b/>
        <i/>
        <sz val="12"/>
        <rFont val="Calibri"/>
        <family val="2"/>
        <scheme val="minor"/>
      </rPr>
      <t>"Classe de atividade econômica segundo a classificação CNAE – versão 2.0 (669 categorias)"</t>
    </r>
    <r>
      <rPr>
        <sz val="12"/>
        <rFont val="Calibri"/>
        <family val="2"/>
        <scheme val="minor"/>
      </rPr>
      <t xml:space="preserve"> e marque a opção "</t>
    </r>
    <r>
      <rPr>
        <b/>
        <i/>
        <sz val="12"/>
        <rFont val="Calibri"/>
        <family val="2"/>
        <scheme val="minor"/>
      </rPr>
      <t>38114 – Coleta de Resíduos Não-Perigosos"</t>
    </r>
  </si>
  <si>
    <r>
      <rPr>
        <b/>
        <sz val="12"/>
        <rFont val="Calibri"/>
        <family val="2"/>
        <scheme val="minor"/>
      </rPr>
      <t>5.</t>
    </r>
    <r>
      <rPr>
        <sz val="12"/>
        <rFont val="Calibri"/>
        <family val="2"/>
        <scheme val="minor"/>
      </rPr>
      <t xml:space="preserve"> Clique em </t>
    </r>
    <r>
      <rPr>
        <i/>
        <sz val="12"/>
        <rFont val="Calibri"/>
        <family val="2"/>
        <scheme val="minor"/>
      </rPr>
      <t>Gerar Relatório</t>
    </r>
  </si>
  <si>
    <r>
      <rPr>
        <b/>
        <sz val="12"/>
        <rFont val="Calibri"/>
        <family val="2"/>
        <scheme val="minor"/>
      </rPr>
      <t>6.</t>
    </r>
    <r>
      <rPr>
        <sz val="12"/>
        <rFont val="Calibri"/>
        <family val="2"/>
        <scheme val="minor"/>
      </rPr>
      <t xml:space="preserve"> Preencha as células em amarelo</t>
    </r>
  </si>
  <si>
    <r>
      <rPr>
        <b/>
        <i/>
        <sz val="12"/>
        <rFont val="Calibri"/>
        <family val="2"/>
        <scheme val="minor"/>
      </rPr>
      <t>J</t>
    </r>
    <r>
      <rPr>
        <b/>
        <i/>
        <vertAlign val="subscript"/>
        <sz val="11"/>
        <rFont val="Calibri"/>
        <family val="2"/>
        <scheme val="minor"/>
      </rPr>
      <t>m</t>
    </r>
    <r>
      <rPr>
        <i/>
        <sz val="12"/>
        <rFont val="Calibri"/>
        <family val="2"/>
        <scheme val="minor"/>
      </rPr>
      <t xml:space="preserve"> =</t>
    </r>
  </si>
  <si>
    <t>(n +1)</t>
  </si>
  <si>
    <t>2n</t>
  </si>
  <si>
    <t>+</t>
  </si>
  <si>
    <r>
      <rPr>
        <b/>
        <sz val="12"/>
        <rFont val="Calibri"/>
        <family val="2"/>
        <scheme val="minor"/>
      </rPr>
      <t>I</t>
    </r>
    <r>
      <rPr>
        <b/>
        <vertAlign val="subscript"/>
        <sz val="12"/>
        <rFont val="Calibri"/>
        <family val="2"/>
        <scheme val="minor"/>
      </rPr>
      <t>m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=</t>
    </r>
  </si>
  <si>
    <r>
      <t>(V</t>
    </r>
    <r>
      <rPr>
        <i/>
        <vertAlign val="subscript"/>
        <sz val="12"/>
        <rFont val="Calibri"/>
        <family val="2"/>
        <scheme val="minor"/>
      </rPr>
      <t>o</t>
    </r>
    <r>
      <rPr>
        <i/>
        <sz val="12"/>
        <rFont val="Calibri"/>
        <family val="2"/>
        <scheme val="minor"/>
      </rPr>
      <t xml:space="preserve"> - V</t>
    </r>
    <r>
      <rPr>
        <i/>
        <vertAlign val="subscript"/>
        <sz val="12"/>
        <rFont val="Calibri"/>
        <family val="2"/>
        <scheme val="minor"/>
      </rPr>
      <t>r</t>
    </r>
    <r>
      <rPr>
        <i/>
        <sz val="12"/>
        <rFont val="Calibri"/>
        <family val="2"/>
        <scheme val="minor"/>
      </rPr>
      <t>) x</t>
    </r>
  </si>
  <si>
    <r>
      <t>V</t>
    </r>
    <r>
      <rPr>
        <i/>
        <vertAlign val="subscript"/>
        <sz val="12"/>
        <rFont val="Calibri"/>
        <family val="2"/>
        <scheme val="minor"/>
      </rPr>
      <t>r</t>
    </r>
  </si>
  <si>
    <r>
      <t>I</t>
    </r>
    <r>
      <rPr>
        <i/>
        <vertAlign val="superscript"/>
        <sz val="12"/>
        <rFont val="Calibri"/>
        <family val="2"/>
        <scheme val="minor"/>
      </rPr>
      <t>m</t>
    </r>
    <r>
      <rPr>
        <i/>
        <sz val="12"/>
        <rFont val="Calibri"/>
        <family val="2"/>
        <scheme val="minor"/>
      </rPr>
      <t xml:space="preserve">  x    i</t>
    </r>
  </si>
  <si>
    <r>
      <rPr>
        <b/>
        <i/>
        <sz val="12"/>
        <color theme="1"/>
        <rFont val="Calibri"/>
        <family val="2"/>
        <scheme val="minor"/>
      </rPr>
      <t>J</t>
    </r>
    <r>
      <rPr>
        <b/>
        <i/>
        <vertAlign val="subscript"/>
        <sz val="12"/>
        <color indexed="8"/>
        <rFont val="Calibri"/>
        <family val="2"/>
        <scheme val="minor"/>
      </rPr>
      <t>m</t>
    </r>
    <r>
      <rPr>
        <sz val="12"/>
        <color indexed="8"/>
        <rFont val="Calibri"/>
        <family val="2"/>
        <scheme val="minor"/>
      </rPr>
      <t xml:space="preserve"> = remuneração de capital mensal</t>
    </r>
  </si>
  <si>
    <r>
      <rPr>
        <b/>
        <i/>
        <sz val="12"/>
        <color theme="1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= taxa de juros do mercado (sugere-se adotar a taxa SELIC)</t>
    </r>
  </si>
  <si>
    <r>
      <rPr>
        <b/>
        <i/>
        <sz val="12"/>
        <color theme="1"/>
        <rFont val="Calibri"/>
        <family val="2"/>
        <scheme val="minor"/>
      </rPr>
      <t>I</t>
    </r>
    <r>
      <rPr>
        <b/>
        <i/>
        <vertAlign val="subscript"/>
        <sz val="12"/>
        <color theme="1"/>
        <rFont val="Calibri"/>
        <family val="2"/>
        <scheme val="minor"/>
      </rPr>
      <t>m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= investimento médio</t>
    </r>
  </si>
  <si>
    <r>
      <rPr>
        <b/>
        <i/>
        <sz val="12"/>
        <color theme="1"/>
        <rFont val="Calibri"/>
        <family val="2"/>
        <scheme val="minor"/>
      </rPr>
      <t>V</t>
    </r>
    <r>
      <rPr>
        <b/>
        <i/>
        <vertAlign val="subscript"/>
        <sz val="12"/>
        <color indexed="8"/>
        <rFont val="Calibri"/>
        <family val="2"/>
        <scheme val="minor"/>
      </rPr>
      <t>0</t>
    </r>
    <r>
      <rPr>
        <sz val="12"/>
        <color indexed="8"/>
        <rFont val="Calibri"/>
        <family val="2"/>
        <scheme val="minor"/>
      </rPr>
      <t xml:space="preserve"> = valor inicial do bem</t>
    </r>
  </si>
  <si>
    <r>
      <rPr>
        <b/>
        <i/>
        <sz val="12"/>
        <color theme="1"/>
        <rFont val="Calibri"/>
        <family val="2"/>
        <scheme val="minor"/>
      </rPr>
      <t>V</t>
    </r>
    <r>
      <rPr>
        <b/>
        <i/>
        <vertAlign val="subscript"/>
        <sz val="12"/>
        <color indexed="8"/>
        <rFont val="Calibri"/>
        <family val="2"/>
        <scheme val="minor"/>
      </rPr>
      <t>r</t>
    </r>
    <r>
      <rPr>
        <b/>
        <i/>
        <sz val="12"/>
        <color indexed="8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>= valor residual do bem</t>
    </r>
  </si>
  <si>
    <r>
      <rPr>
        <b/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= vida útil do bem em anos</t>
    </r>
  </si>
  <si>
    <t xml:space="preserve">Unidade </t>
  </si>
  <si>
    <t>Fator de utilização da frota(FUF)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</si>
  <si>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Preencher somente células em amarelo</t>
    </r>
  </si>
  <si>
    <r>
      <rPr>
        <b/>
        <sz val="12"/>
        <rFont val="Calibri"/>
        <family val="2"/>
        <scheme val="minor"/>
      </rPr>
      <t xml:space="preserve">2. </t>
    </r>
    <r>
      <rPr>
        <sz val="12"/>
        <rFont val="Calibri"/>
        <family val="2"/>
        <scheme val="minor"/>
      </rPr>
      <t>As células azuis deverão ter seus valores preenchidos em outra planilha do arquivo.</t>
    </r>
  </si>
  <si>
    <r>
      <t xml:space="preserve">Total </t>
    </r>
    <r>
      <rPr>
        <b/>
        <u/>
        <sz val="12"/>
        <rFont val="Calibri"/>
        <family val="2"/>
        <scheme val="minor"/>
      </rPr>
      <t>(R$)</t>
    </r>
  </si>
  <si>
    <t>FU</t>
  </si>
  <si>
    <t>Soma:</t>
  </si>
  <si>
    <t>Total por Coletor:</t>
  </si>
  <si>
    <t>horas contabilizadas</t>
  </si>
  <si>
    <t>Total por Motorista:</t>
  </si>
  <si>
    <t>Custo Mensal com Mão-de-obra (R$/mês):</t>
  </si>
  <si>
    <t>2.1. Uniformes e EPI's para Coletor</t>
  </si>
  <si>
    <t>2.2. Uniformes e EPI's para demais categorias</t>
  </si>
  <si>
    <t>Custo jg. compl. +  recap./ km rodado</t>
  </si>
  <si>
    <t>Custo do jogo de pneus 1000/20R 16</t>
  </si>
  <si>
    <t>2.1. Uniformes e EPI's</t>
  </si>
  <si>
    <t>Custo de aquisição do container</t>
  </si>
  <si>
    <t>Vida útil do container</t>
  </si>
  <si>
    <t>Idade do container</t>
  </si>
  <si>
    <t>Depreciação do container</t>
  </si>
  <si>
    <t>Depreciação mensal do container</t>
  </si>
  <si>
    <t>Custo de aquisição da retroescavadeira</t>
  </si>
  <si>
    <t>Vida útil da retroescavadeira</t>
  </si>
  <si>
    <t>Idade da retroescavadeira</t>
  </si>
  <si>
    <t>Depreciação da retroescavadeira</t>
  </si>
  <si>
    <t xml:space="preserve">Depreciação mensal da retroescavadeira  </t>
  </si>
  <si>
    <t>Total por unidade</t>
  </si>
  <si>
    <t>Custo do container</t>
  </si>
  <si>
    <t>Valor do equipamento proposto (V0)</t>
  </si>
  <si>
    <t>Investimento médio total do container</t>
  </si>
  <si>
    <t>Custo da retroescavadeira</t>
  </si>
  <si>
    <t>Valor da retroescavadeira proposto (V0)</t>
  </si>
  <si>
    <t>Investimento médio total da retroescavadeira</t>
  </si>
  <si>
    <t xml:space="preserve">Remuneração mensal de capital da retroescavadeira </t>
  </si>
  <si>
    <t>Total da estação de transbordo</t>
  </si>
  <si>
    <t>Custo de manutenção dos equipamentos</t>
  </si>
  <si>
    <t xml:space="preserve">Custo do jogo de pneus </t>
  </si>
  <si>
    <t>Total de mão-de-obra (estação de transbordo)</t>
  </si>
  <si>
    <t>PREÇO TOTAL MENSAL COM O TRANSBORDO</t>
  </si>
  <si>
    <t>Mediana:</t>
  </si>
  <si>
    <r>
      <t xml:space="preserve">B. </t>
    </r>
    <r>
      <rPr>
        <sz val="12"/>
        <rFont val="Calibri"/>
        <family val="2"/>
        <scheme val="minor"/>
      </rPr>
      <t>A distância média de transporte foi considerada como a mediana entre as distâncias de três aterros sanitários devidamente licenciados e que possuem capacidade para receber os residuos sólidos gerados no município.</t>
    </r>
  </si>
  <si>
    <t>Total (R$)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</si>
  <si>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</si>
  <si>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</si>
  <si>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</si>
  <si>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</si>
  <si>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</si>
  <si>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</si>
  <si>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3.3.1. Depreciação</t>
  </si>
  <si>
    <t>3.3.2. Remuneração do Capital</t>
  </si>
  <si>
    <t>PREÇO TOTAL MENSAL COM O DESTINO FINAL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</si>
  <si>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A planilha será preenchida automaticamente.</t>
    </r>
  </si>
  <si>
    <t>DMT estação Arroio do Meio:</t>
  </si>
  <si>
    <t>6. Deposição no Aterro</t>
  </si>
  <si>
    <t>Valor de deposição</t>
  </si>
  <si>
    <t>DMT LOCAL:</t>
  </si>
  <si>
    <t>Fator de utilização da frota(FU)</t>
  </si>
  <si>
    <t>Benefícios e despesas indiretas sobre o valor de deposição (s/lucro)</t>
  </si>
  <si>
    <t>7. Benefícios e Despesas Indiretas - BDI</t>
  </si>
  <si>
    <r>
      <t xml:space="preserve">B. </t>
    </r>
    <r>
      <rPr>
        <sz val="12"/>
        <rFont val="Calibri"/>
        <family val="2"/>
        <scheme val="minor"/>
      </rPr>
      <t>A distância média de transporte foi considerada como a distância da estação local, devidamente licenciada e que possui capacidade para receber os residuos sólidos gerados no município.</t>
    </r>
  </si>
  <si>
    <t>4. Composição do B.D.I.  Sem Lucro (Benefícios e Despesas Indiretas)</t>
  </si>
  <si>
    <t xml:space="preserve">CRONOGRAMA FÍSICO - FINANCEIRO </t>
  </si>
  <si>
    <t>ÍTEM</t>
  </si>
  <si>
    <t>FASE</t>
  </si>
  <si>
    <t>VALOR ORÇADO</t>
  </si>
  <si>
    <t>INCID.</t>
  </si>
  <si>
    <t>REALIZAÇÃO  MENSAL</t>
  </si>
  <si>
    <t>( R$ )</t>
  </si>
  <si>
    <t>( % )</t>
  </si>
  <si>
    <t>1º  MÊS</t>
  </si>
  <si>
    <t>2º  MÊS</t>
  </si>
  <si>
    <t>3º  MÊS</t>
  </si>
  <si>
    <t>4º  MÊS</t>
  </si>
  <si>
    <t xml:space="preserve">ARROIO DO MEIO - RS </t>
  </si>
  <si>
    <t>5º  MÊS</t>
  </si>
  <si>
    <t>6º  MÊS</t>
  </si>
  <si>
    <t>7º  MÊS</t>
  </si>
  <si>
    <t>8º  MÊS</t>
  </si>
  <si>
    <t>9º  MÊS</t>
  </si>
  <si>
    <t>10º  MÊS</t>
  </si>
  <si>
    <t>11º  MÊS</t>
  </si>
  <si>
    <t>12º  MÊS</t>
  </si>
  <si>
    <t>Valor do conjunto  proposto (V0)</t>
  </si>
  <si>
    <t>10,00 km</t>
  </si>
  <si>
    <t>Observação.:</t>
  </si>
  <si>
    <t>População previsão 2020 no dimensionamento na contratação de 20.967.</t>
  </si>
  <si>
    <t>População em 2021 no reequilibrio de 21.121.</t>
  </si>
  <si>
    <t>Acrescimo de 154 pessoas.</t>
  </si>
  <si>
    <t>Central de Triagem de RSU e Estação de Transbordo</t>
  </si>
  <si>
    <t>Equipamentos e Maquinas</t>
  </si>
  <si>
    <t>Reciclador</t>
  </si>
  <si>
    <t>Operador</t>
  </si>
  <si>
    <t xml:space="preserve">Horas Trabalhadas Mensal </t>
  </si>
  <si>
    <t>Consumo / h</t>
  </si>
  <si>
    <t>Custo de óleo diesel / h/l</t>
  </si>
  <si>
    <t>h/l</t>
  </si>
  <si>
    <t>h</t>
  </si>
  <si>
    <t>Custo de óleo do motor /1.000 h trabalhadas</t>
  </si>
  <si>
    <t>l/1.000 h</t>
  </si>
  <si>
    <t>Custo de óleo da transmissão /1.000 h</t>
  </si>
  <si>
    <t>Custo de óleo hidráulico / 1.000 h</t>
  </si>
  <si>
    <t>Custo de graxa /1.000 h trabalhadas</t>
  </si>
  <si>
    <t>kg/1.000 h</t>
  </si>
  <si>
    <t>Custo com consumos/h trabalhadas</t>
  </si>
  <si>
    <t>R$/h trabalhadas</t>
  </si>
  <si>
    <t>Custo jg. compl. +  recap./ h Trabalhadas</t>
  </si>
  <si>
    <t>h/jogo</t>
  </si>
  <si>
    <t xml:space="preserve">Quantidade média de resíduos apos triagem por mês: </t>
  </si>
  <si>
    <t>PREÇO POR TONELADA EXECUTADO TRIAGEM:  [A/B]</t>
  </si>
  <si>
    <t>{ (FREQÜENCIA ZONA 1+ ....+ FREQÜÊNCIA ZONA 19) X 2 (IDA E VOLTA)  X DIAS DA COLETA} + (KM DA ESTAÇÃO X 2(IDA E VOLTA) = KM DE TRANSPORTE</t>
  </si>
  <si>
    <r>
      <t>3.2. Veículo Coletor Compactador</t>
    </r>
    <r>
      <rPr>
        <b/>
        <i/>
        <sz val="12"/>
        <color indexed="1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15 m³ (mínimo)</t>
    </r>
  </si>
  <si>
    <r>
      <rPr>
        <b/>
        <sz val="12"/>
        <rFont val="Calibri"/>
        <family val="2"/>
        <scheme val="minor"/>
      </rPr>
      <t xml:space="preserve">F. </t>
    </r>
    <r>
      <rPr>
        <i/>
        <sz val="12"/>
        <rFont val="Calibri"/>
        <family val="2"/>
        <scheme val="minor"/>
      </rPr>
      <t>Mão de obra: O motorista envolvido na operação foi considerado junto a coleta domiciliar  e o tempo estimado para o transporte computado no quadro de freqüências.</t>
    </r>
  </si>
  <si>
    <r>
      <rPr>
        <b/>
        <sz val="12"/>
        <rFont val="Calibri"/>
        <family val="2"/>
        <scheme val="minor"/>
      </rPr>
      <t xml:space="preserve">A. </t>
    </r>
    <r>
      <rPr>
        <sz val="12"/>
        <rFont val="Calibri"/>
        <family val="2"/>
        <scheme val="minor"/>
      </rPr>
      <t>Para o cálculo foi considerado que, para cada zona de recolhimento, o caminhão partiria do ponto inicial localizado junto ao acesso principal de Arroio do Meio, realizaria a rota de coleta e retornaria ao ponto de partida, onde, após a dispensa da guarnição, outro motorista assumiria o transporte até o armazenamento na estação de transbordo.</t>
    </r>
  </si>
  <si>
    <r>
      <rPr>
        <b/>
        <sz val="12"/>
        <rFont val="Calibri"/>
        <family val="2"/>
        <scheme val="minor"/>
      </rPr>
      <t xml:space="preserve">A. </t>
    </r>
    <r>
      <rPr>
        <i/>
        <sz val="12"/>
        <rFont val="Calibri"/>
        <family val="2"/>
        <scheme val="minor"/>
      </rPr>
      <t>Mão de obra: O motorista envolvido na operação foi considerado junto a coleta domiciliar  e o tempo estimado para o transporte computado no quadro de freqüências.</t>
    </r>
  </si>
  <si>
    <t>3.4.1. Depreciação</t>
  </si>
  <si>
    <t>3.4.2. Remuneração do Capital</t>
  </si>
  <si>
    <t>3.4.4. Consumos</t>
  </si>
  <si>
    <t>3.4.5. Manutenção</t>
  </si>
  <si>
    <t>3.4.6. Pneus</t>
  </si>
  <si>
    <t>1.5. Reciclador Turno do Dia</t>
  </si>
  <si>
    <t>1.6. Operador Turno do Dia</t>
  </si>
  <si>
    <t>1.7. Vale Transporte</t>
  </si>
  <si>
    <t>1.8. Vale-refeição (diário)</t>
  </si>
  <si>
    <t>1.9. Auxílio Alimentação (mensal)</t>
  </si>
  <si>
    <t>1.9 Auxílio Alimentação (mensal)</t>
  </si>
  <si>
    <t>Segunda feira</t>
  </si>
  <si>
    <t>Terca feira</t>
  </si>
  <si>
    <t>Quarta Feira</t>
  </si>
  <si>
    <t>Quinta Feira</t>
  </si>
  <si>
    <t>Sexta Feira</t>
  </si>
  <si>
    <t>Sabado</t>
  </si>
  <si>
    <t>Coleta Reciclaveis Urbana</t>
  </si>
  <si>
    <t>Coleta Reciclaveis Rural</t>
  </si>
  <si>
    <t>Dia da Semana</t>
  </si>
  <si>
    <t>COLETA PRODUTIVA</t>
  </si>
  <si>
    <t>Coleta Organica Urbana Diurno</t>
  </si>
  <si>
    <t>Coleta Organica Urbana Noturno</t>
  </si>
  <si>
    <t>Total Semana</t>
  </si>
  <si>
    <t xml:space="preserve">Total </t>
  </si>
  <si>
    <t>* 4 semana / mês</t>
  </si>
  <si>
    <t>Total Mês</t>
  </si>
  <si>
    <t>COLETA IMPRODUTIVA</t>
  </si>
  <si>
    <t>Total Geral Mês</t>
  </si>
  <si>
    <t>Total Coleta</t>
  </si>
  <si>
    <t>Custo de aquisição prensa</t>
  </si>
  <si>
    <t>Vida útil prensa</t>
  </si>
  <si>
    <t>Idade prensa</t>
  </si>
  <si>
    <t>Depreciação da prensa</t>
  </si>
  <si>
    <t>Depreciação mensal da prensa</t>
  </si>
  <si>
    <t>Custo da prensa</t>
  </si>
  <si>
    <t>Investimento médio total da prensa</t>
  </si>
  <si>
    <t>Custo de aquisição das esteiras</t>
  </si>
  <si>
    <t>Vida útil das esteiras</t>
  </si>
  <si>
    <t>Idade das esteiras</t>
  </si>
  <si>
    <t>Depreciação das esteiras</t>
  </si>
  <si>
    <t xml:space="preserve">Depreciação mensal das esteiras  </t>
  </si>
  <si>
    <t>Total da central de triagem</t>
  </si>
  <si>
    <t>Custo das esteiras</t>
  </si>
  <si>
    <t>Investimento médio total das esteiras</t>
  </si>
  <si>
    <t>Remuneração mensal de capital das esteiras</t>
  </si>
  <si>
    <t>Custo de aquisição do chassis Romeu Roll on off</t>
  </si>
  <si>
    <t>Vida útil do veículo Romeu Roll on off</t>
  </si>
  <si>
    <t>Idade do veículo Romeu Roll on off</t>
  </si>
  <si>
    <t>Depreciação do veículo Romeu Roll on off</t>
  </si>
  <si>
    <t>Depreciação mensal do chassis do Romeu Roll on off</t>
  </si>
  <si>
    <t>Custo de aquisição do Equipamento Roll on off</t>
  </si>
  <si>
    <t>Vida útil do Equipamento Roll on off</t>
  </si>
  <si>
    <t>Idade do Equipamento Roll on off</t>
  </si>
  <si>
    <t>Depreciação do Equipamento Roll on off</t>
  </si>
  <si>
    <t>Depreciação mensal do Equipamento Roll on off</t>
  </si>
  <si>
    <t>Custo de aquisição do conjunto Julieta Roll on off</t>
  </si>
  <si>
    <t>Vida útil do conjunto Julieta Roll on off</t>
  </si>
  <si>
    <t>Idade do conjunto Julieta Roll on off</t>
  </si>
  <si>
    <t>Depreciação do conjunto Julieta Roll on off</t>
  </si>
  <si>
    <t>Depreciação mensal do conjunto Julieta Roll on off</t>
  </si>
  <si>
    <t>Custo de aquisição do chassis Roll on off</t>
  </si>
  <si>
    <t>Investimento médio total do chassis Roll on off</t>
  </si>
  <si>
    <t>Remuneração mensal de capital do chassis Roll on off</t>
  </si>
  <si>
    <t>Investimento médio total do conjunto Julieta Roll on off</t>
  </si>
  <si>
    <t>Remuneração mensal de capital do conjunto Julieta Roll on off</t>
  </si>
  <si>
    <t>DMT aterro São Leopoldo:</t>
  </si>
  <si>
    <t>120,00 km</t>
  </si>
  <si>
    <t>DMT aterro Minas do Leão:</t>
  </si>
  <si>
    <t>135,00 km</t>
  </si>
  <si>
    <t>DMT aterro Santa Maria:</t>
  </si>
  <si>
    <t>225,00 km</t>
  </si>
  <si>
    <t>Custo de aquisição da empilhadeira</t>
  </si>
  <si>
    <t>Vida útil da empilhadeira</t>
  </si>
  <si>
    <t>Idade da empilhadeira</t>
  </si>
  <si>
    <t>Depreciação da empilhadeira</t>
  </si>
  <si>
    <t>Depreciação mensal da empilhadeira</t>
  </si>
  <si>
    <t>Custo da empilhadeira</t>
  </si>
  <si>
    <t>Investimento médio total da empilhadeira</t>
  </si>
  <si>
    <t xml:space="preserve">Remuneração mensal de capital da empilhadeira </t>
  </si>
  <si>
    <t xml:space="preserve">Custo do jogo de pneus Dianteiros </t>
  </si>
  <si>
    <t xml:space="preserve">Custo do jogo de pneus Traseiros </t>
  </si>
  <si>
    <t xml:space="preserve">Custo de recapagem pneus Dianteiros </t>
  </si>
  <si>
    <t xml:space="preserve">Custo de recapagem pneus  Traseiros </t>
  </si>
  <si>
    <t>Equipamento Prensa</t>
  </si>
  <si>
    <t>Maquina Empilhadeira</t>
  </si>
  <si>
    <t>Equipamento Esteira</t>
  </si>
  <si>
    <t>3.3.3. Impostos e Seguros</t>
  </si>
  <si>
    <t>3.3.4. Consumos</t>
  </si>
  <si>
    <t>3.3.5 Manutenção</t>
  </si>
  <si>
    <t>3.3.6 Pneus</t>
  </si>
  <si>
    <r>
      <t>3.4. Veículo Coletor Compactador</t>
    </r>
    <r>
      <rPr>
        <b/>
        <i/>
        <sz val="12"/>
        <color indexed="1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15 m³ (mínimo)</t>
    </r>
  </si>
  <si>
    <t>3.5.1. Depreciação</t>
  </si>
  <si>
    <t>3.5.2. Remuneração do Capital</t>
  </si>
  <si>
    <t>3.5.3. Impostos e Seguros</t>
  </si>
  <si>
    <t>3.5.4. Consumos</t>
  </si>
  <si>
    <t>3.5.5. Manutenção</t>
  </si>
  <si>
    <t>3.5.6. Pneus</t>
  </si>
  <si>
    <t>3.6.1. Depreciação</t>
  </si>
  <si>
    <t>3.6.2. Remuneração do Capital</t>
  </si>
  <si>
    <t>3.6.3. Impostos e Seguros</t>
  </si>
  <si>
    <t>3.6.4. Consumos</t>
  </si>
  <si>
    <t>3.6.5. Manutenção</t>
  </si>
  <si>
    <t>3.6.6. Pneus</t>
  </si>
  <si>
    <t xml:space="preserve">3.7. Conjunto com carreta tipo "roll -on"  e containers para destino final </t>
  </si>
  <si>
    <t>3.7.1. Depreciação</t>
  </si>
  <si>
    <t>3.7.2. Remuneração do Capital</t>
  </si>
  <si>
    <t>3.7.3. Impostos e Seguros</t>
  </si>
  <si>
    <t>3.7.4. Consumos</t>
  </si>
  <si>
    <t>3.7.5. Manutenção</t>
  </si>
  <si>
    <t>3.7.6. Pneus</t>
  </si>
  <si>
    <t>1.1. Coletor Turno Noite</t>
  </si>
  <si>
    <t>1.2. Coletor Turno Dia</t>
  </si>
  <si>
    <t>1.3. Motorista Turno Noite</t>
  </si>
  <si>
    <t>1.4. Motorista Turno do Dia</t>
  </si>
  <si>
    <r>
      <t>3.1. Veículo Coletor Compactador</t>
    </r>
    <r>
      <rPr>
        <b/>
        <i/>
        <sz val="12"/>
        <color indexed="1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15 m³ (mínimo)</t>
    </r>
  </si>
  <si>
    <r>
      <t>3.3.1. Veículo Coletor Compactador</t>
    </r>
    <r>
      <rPr>
        <b/>
        <i/>
        <sz val="12"/>
        <color indexed="1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15 m³ (mínimo)</t>
    </r>
  </si>
  <si>
    <t xml:space="preserve">         DATA           </t>
  </si>
  <si>
    <t>PESO RESIDUO COLETADO - T</t>
  </si>
  <si>
    <t>01_2022</t>
  </si>
  <si>
    <t>02_2022</t>
  </si>
  <si>
    <t>03_2022</t>
  </si>
  <si>
    <t>04_2022</t>
  </si>
  <si>
    <t>05_2022</t>
  </si>
  <si>
    <t>06_2022</t>
  </si>
  <si>
    <t>07_2022</t>
  </si>
  <si>
    <t>08_2022</t>
  </si>
  <si>
    <t>09_2022</t>
  </si>
  <si>
    <t>10_2022</t>
  </si>
  <si>
    <t>11_2022</t>
  </si>
  <si>
    <t>12_2022</t>
  </si>
  <si>
    <t>TOTAL</t>
  </si>
  <si>
    <t>TOTAL MEDIA 12 MESES</t>
  </si>
  <si>
    <t>MEDIA TONELADAS COLETAS ANO 2022</t>
  </si>
  <si>
    <t>3.6. Central de Triagem com capacidade mínima de 11,333 ton/dia.</t>
  </si>
  <si>
    <t>3.5. Estacão de transbordo com capacidade mínima de 11,333 ton/dia.</t>
  </si>
  <si>
    <r>
      <rPr>
        <b/>
        <sz val="12"/>
        <rFont val="Calibri"/>
        <family val="2"/>
        <scheme val="minor"/>
      </rPr>
      <t xml:space="preserve">C. </t>
    </r>
    <r>
      <rPr>
        <sz val="12"/>
        <rFont val="Calibri"/>
        <family val="2"/>
        <scheme val="minor"/>
      </rPr>
      <t>Coletas :</t>
    </r>
    <r>
      <rPr>
        <i/>
        <sz val="12"/>
        <rFont val="Calibri"/>
        <family val="2"/>
        <scheme val="minor"/>
      </rPr>
      <t>( 1 +... + 18 ) X 2 viagens(ida/volta)  X 10,00 km x 4 semanas =</t>
    </r>
    <r>
      <rPr>
        <b/>
        <i/>
        <sz val="12"/>
        <rFont val="Calibri"/>
        <family val="2"/>
        <scheme val="minor"/>
      </rPr>
      <t xml:space="preserve"> 1.520,00 km/mês</t>
    </r>
  </si>
  <si>
    <r>
      <rPr>
        <b/>
        <sz val="12"/>
        <rFont val="Calibri"/>
        <family val="2"/>
        <scheme val="minor"/>
      </rPr>
      <t xml:space="preserve">A. </t>
    </r>
    <r>
      <rPr>
        <sz val="12"/>
        <rFont val="Calibri"/>
        <family val="2"/>
        <scheme val="minor"/>
      </rPr>
      <t xml:space="preserve">Foram consideradas três viagens de ida/volta para o aterro sanitário por semana </t>
    </r>
  </si>
  <si>
    <r>
      <rPr>
        <b/>
        <sz val="11"/>
        <rFont val="Calibri"/>
        <family val="2"/>
        <scheme val="minor"/>
      </rPr>
      <t xml:space="preserve">C. </t>
    </r>
    <r>
      <rPr>
        <i/>
        <sz val="11"/>
        <rFont val="Calibri"/>
        <family val="2"/>
        <scheme val="minor"/>
      </rPr>
      <t xml:space="preserve">3 viagens/semana x (135,00km ida + 135,00km volta + 10,00km deslocamento interno) x 4 semanas = </t>
    </r>
    <r>
      <rPr>
        <b/>
        <i/>
        <sz val="11"/>
        <rFont val="Calibri"/>
        <family val="2"/>
        <scheme val="minor"/>
      </rPr>
      <t>3.360,00 km/mês</t>
    </r>
  </si>
  <si>
    <r>
      <rPr>
        <b/>
        <sz val="11"/>
        <rFont val="Calibri"/>
        <family val="2"/>
        <scheme val="minor"/>
      </rPr>
      <t xml:space="preserve">D. </t>
    </r>
    <r>
      <rPr>
        <i/>
        <sz val="11"/>
        <rFont val="Calibri"/>
        <family val="2"/>
        <scheme val="minor"/>
      </rPr>
      <t>Mão de obra: 3.360,00 km/mês  / 50,00km/hora = 67,20 horas/mês viagens + (2 horas x 12 viagens espera para descarga) = 91,20 horas/mês</t>
    </r>
  </si>
  <si>
    <t>1.5. Estação de transbordo</t>
  </si>
  <si>
    <t>1.6. Central de Triagem</t>
  </si>
  <si>
    <t>1.7. Destino final</t>
  </si>
  <si>
    <t>COLETA, TRANSPORTE, ARMAZENAMENTO, TRIAGEM E TRANSPORTE AO DESTINO FINAL DE RESÍDUOS SÓLIDOS DOMICILIARES</t>
  </si>
  <si>
    <t>PREÇO TOTAL MENSAL COM A COLETA, TRANSPORTE, ARMAZENAMENTO, TRIAGEM E TRANSPORTE E DESTINO FINAL</t>
  </si>
  <si>
    <t>1.4. Coleta domiciliar rural matutino</t>
  </si>
  <si>
    <t>1.3. Coleta domiciliar urbana matutino</t>
  </si>
  <si>
    <t>1.2. Coleta domiciliar urbana diurno</t>
  </si>
  <si>
    <t>1.1. Coleta domiciliar urbana noturno</t>
  </si>
  <si>
    <t>Maquina Retroescavadeira</t>
  </si>
  <si>
    <t>Equipamento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</si>
</sst>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0.0"/>
    <numFmt numFmtId="174" formatCode="_(&quot;R$ &quot;* #,##0.00_);_(&quot;R$ &quot;* \(#,##0.00\);_(&quot;R$ &quot;* &quot;-&quot;??_);_(@_)"/>
    <numFmt numFmtId="175" formatCode="_-&quot;R$&quot;* #,##0.00_-;\-&quot;R$&quot;* #,##0.00_-;_-&quot;R$&quot;* &quot;-&quot;_-;_-@_-"/>
    <numFmt numFmtId="176" formatCode="_(* #,##0.0000_);_(* \(#,##0.0000\);_(* &quot;-&quot;??_);_(@_)"/>
    <numFmt numFmtId="177" formatCode="0.0000%"/>
    <numFmt numFmtId="178" formatCode="_-* #,##0.0000_-;\-* #,##0.0000_-;_-* &quot;-&quot;????_-;_-@_-"/>
    <numFmt numFmtId="179" formatCode="_-&quot;R$&quot;\ * #,##0.000_-;\-&quot;R$&quot;\ * #,##0.000_-;_-&quot;R$&quot;\ * &quot;-&quot;??_-;_-@_-"/>
    <numFmt numFmtId="180" formatCode="_-* #,##0.00_-;\-* #,##0.00_-;_-* &quot;-&quot;???_-;_-@_-"/>
    <numFmt numFmtId="181" formatCode="0.000"/>
    <numFmt numFmtId="182" formatCode="_-* #,##0.000_-;\-* #,##0.000_-;_-* &quot;-&quot;???_-;_-@_-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i/>
      <vertAlign val="subscript"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indexed="8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" fontId="1" fillId="0" borderId="0"/>
    <xf numFmtId="165" fontId="1" fillId="0" borderId="0" applyFont="0" applyFill="0" applyBorder="0" applyAlignment="0" applyProtection="0"/>
    <xf numFmtId="44" fontId="46" fillId="0" borderId="0" applyFont="0" applyFill="0" applyBorder="0" applyAlignment="0" applyProtection="0"/>
  </cellStyleXfs>
  <cellXfs count="623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0" fontId="3" fillId="0" borderId="0" xfId="0" applyNumberFormat="1" applyFont="1"/>
    <xf numFmtId="9" fontId="8" fillId="0" borderId="0" xfId="2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10" fontId="8" fillId="0" borderId="0" xfId="0" applyNumberFormat="1" applyFont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4" fillId="0" borderId="0" xfId="1" applyBorder="1" applyAlignment="1" applyProtection="1">
      <alignment horizontal="left" vertical="center"/>
    </xf>
    <xf numFmtId="0" fontId="12" fillId="0" borderId="0" xfId="0" applyFont="1"/>
    <xf numFmtId="0" fontId="8" fillId="0" borderId="0" xfId="0" applyFont="1" applyAlignment="1">
      <alignment horizontal="right" vertical="center"/>
    </xf>
    <xf numFmtId="0" fontId="4" fillId="0" borderId="0" xfId="1" applyBorder="1" applyAlignment="1" applyProtection="1">
      <alignment vertical="center"/>
    </xf>
    <xf numFmtId="0" fontId="13" fillId="0" borderId="0" xfId="0" applyFont="1"/>
    <xf numFmtId="0" fontId="16" fillId="0" borderId="0" xfId="0" applyFont="1"/>
    <xf numFmtId="0" fontId="16" fillId="0" borderId="35" xfId="0" applyFont="1" applyBorder="1"/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5" borderId="4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0" fontId="16" fillId="0" borderId="1" xfId="2" applyNumberFormat="1" applyFont="1" applyBorder="1" applyAlignment="1">
      <alignment horizontal="center" vertical="center"/>
    </xf>
    <xf numFmtId="10" fontId="16" fillId="0" borderId="19" xfId="2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0" xfId="0" applyFont="1"/>
    <xf numFmtId="0" fontId="16" fillId="0" borderId="2" xfId="0" applyFont="1" applyBorder="1" applyAlignment="1">
      <alignment horizontal="center" vertical="center"/>
    </xf>
    <xf numFmtId="9" fontId="18" fillId="0" borderId="33" xfId="2" applyFont="1" applyBorder="1" applyAlignment="1">
      <alignment horizontal="center" vertical="center"/>
    </xf>
    <xf numFmtId="9" fontId="18" fillId="0" borderId="34" xfId="2" applyFont="1" applyBorder="1" applyAlignment="1">
      <alignment horizontal="center" vertical="center"/>
    </xf>
    <xf numFmtId="10" fontId="16" fillId="0" borderId="21" xfId="2" applyNumberFormat="1" applyFont="1" applyBorder="1" applyAlignment="1">
      <alignment horizontal="center" vertical="center"/>
    </xf>
    <xf numFmtId="10" fontId="16" fillId="0" borderId="11" xfId="2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0" fontId="16" fillId="3" borderId="21" xfId="0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10" fontId="16" fillId="3" borderId="33" xfId="0" applyNumberFormat="1" applyFont="1" applyFill="1" applyBorder="1" applyAlignment="1">
      <alignment horizontal="center" vertical="center"/>
    </xf>
    <xf numFmtId="10" fontId="16" fillId="0" borderId="16" xfId="2" applyNumberFormat="1" applyFont="1" applyBorder="1" applyAlignment="1">
      <alignment horizontal="right"/>
    </xf>
    <xf numFmtId="10" fontId="16" fillId="0" borderId="17" xfId="2" applyNumberFormat="1" applyFont="1" applyBorder="1" applyAlignment="1">
      <alignment horizontal="right"/>
    </xf>
    <xf numFmtId="0" fontId="19" fillId="0" borderId="0" xfId="0" applyFont="1"/>
    <xf numFmtId="3" fontId="20" fillId="3" borderId="47" xfId="0" applyNumberFormat="1" applyFont="1" applyFill="1" applyBorder="1" applyAlignment="1">
      <alignment horizontal="center" vertical="center"/>
    </xf>
    <xf numFmtId="3" fontId="20" fillId="3" borderId="49" xfId="0" applyNumberFormat="1" applyFont="1" applyFill="1" applyBorder="1" applyAlignment="1">
      <alignment horizontal="center" vertical="center"/>
    </xf>
    <xf numFmtId="3" fontId="16" fillId="3" borderId="49" xfId="0" applyNumberFormat="1" applyFont="1" applyFill="1" applyBorder="1" applyAlignment="1">
      <alignment horizontal="center" vertical="center"/>
    </xf>
    <xf numFmtId="3" fontId="16" fillId="3" borderId="51" xfId="0" applyNumberFormat="1" applyFont="1" applyFill="1" applyBorder="1" applyAlignment="1">
      <alignment horizontal="center" vertical="center"/>
    </xf>
    <xf numFmtId="3" fontId="16" fillId="3" borderId="47" xfId="0" applyNumberFormat="1" applyFont="1" applyFill="1" applyBorder="1" applyAlignment="1">
      <alignment horizontal="center" vertical="center"/>
    </xf>
    <xf numFmtId="0" fontId="16" fillId="0" borderId="36" xfId="0" applyFont="1" applyBorder="1"/>
    <xf numFmtId="169" fontId="21" fillId="0" borderId="47" xfId="0" applyNumberFormat="1" applyFont="1" applyBorder="1" applyAlignment="1">
      <alignment horizontal="center" vertical="center"/>
    </xf>
    <xf numFmtId="169" fontId="21" fillId="0" borderId="49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4" fillId="0" borderId="0" xfId="0" applyFont="1"/>
    <xf numFmtId="9" fontId="16" fillId="0" borderId="49" xfId="0" applyNumberFormat="1" applyFont="1" applyBorder="1" applyAlignment="1">
      <alignment horizontal="center" vertical="center"/>
    </xf>
    <xf numFmtId="169" fontId="16" fillId="0" borderId="49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9" fontId="14" fillId="0" borderId="6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0" fillId="0" borderId="4" xfId="0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10" fontId="27" fillId="0" borderId="19" xfId="0" applyNumberFormat="1" applyFont="1" applyBorder="1" applyAlignment="1">
      <alignment horizontal="right" vertical="center"/>
    </xf>
    <xf numFmtId="0" fontId="28" fillId="5" borderId="1" xfId="0" applyFont="1" applyFill="1" applyBorder="1" applyAlignment="1">
      <alignment horizontal="left" vertical="center"/>
    </xf>
    <xf numFmtId="10" fontId="28" fillId="5" borderId="1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8" fillId="9" borderId="33" xfId="0" applyFont="1" applyFill="1" applyBorder="1" applyAlignment="1">
      <alignment horizontal="left" vertical="center"/>
    </xf>
    <xf numFmtId="10" fontId="28" fillId="9" borderId="34" xfId="0" applyNumberFormat="1" applyFont="1" applyFill="1" applyBorder="1" applyAlignment="1">
      <alignment horizontal="right" vertical="center"/>
    </xf>
    <xf numFmtId="0" fontId="27" fillId="0" borderId="22" xfId="0" applyFont="1" applyBorder="1" applyAlignment="1">
      <alignment horizontal="center" vertical="center"/>
    </xf>
    <xf numFmtId="0" fontId="28" fillId="8" borderId="22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left" vertical="center"/>
    </xf>
    <xf numFmtId="10" fontId="28" fillId="11" borderId="19" xfId="0" applyNumberFormat="1" applyFont="1" applyFill="1" applyBorder="1" applyAlignment="1">
      <alignment horizontal="right" vertical="center"/>
    </xf>
    <xf numFmtId="0" fontId="25" fillId="0" borderId="4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3" fillId="0" borderId="6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4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170" fontId="21" fillId="0" borderId="19" xfId="3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3" fontId="16" fillId="3" borderId="19" xfId="0" applyNumberFormat="1" applyFont="1" applyFill="1" applyBorder="1" applyAlignment="1">
      <alignment horizontal="right" vertical="center"/>
    </xf>
    <xf numFmtId="171" fontId="16" fillId="0" borderId="19" xfId="0" applyNumberFormat="1" applyFont="1" applyBorder="1" applyAlignment="1">
      <alignment horizontal="right" vertical="center"/>
    </xf>
    <xf numFmtId="2" fontId="16" fillId="0" borderId="19" xfId="0" applyNumberFormat="1" applyFont="1" applyBorder="1" applyAlignment="1">
      <alignment horizontal="right" vertical="center"/>
    </xf>
    <xf numFmtId="171" fontId="16" fillId="3" borderId="19" xfId="0" applyNumberFormat="1" applyFont="1" applyFill="1" applyBorder="1" applyAlignment="1">
      <alignment horizontal="right" vertical="center"/>
    </xf>
    <xf numFmtId="172" fontId="16" fillId="3" borderId="19" xfId="0" applyNumberFormat="1" applyFont="1" applyFill="1" applyBorder="1" applyAlignment="1">
      <alignment horizontal="right" vertical="center"/>
    </xf>
    <xf numFmtId="173" fontId="16" fillId="3" borderId="19" xfId="0" applyNumberFormat="1" applyFont="1" applyFill="1" applyBorder="1" applyAlignment="1">
      <alignment horizontal="right" vertical="center"/>
    </xf>
    <xf numFmtId="2" fontId="16" fillId="3" borderId="19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2" fontId="25" fillId="7" borderId="59" xfId="0" applyNumberFormat="1" applyFont="1" applyFill="1" applyBorder="1" applyAlignment="1">
      <alignment horizontal="center" vertical="center"/>
    </xf>
    <xf numFmtId="2" fontId="25" fillId="7" borderId="49" xfId="0" applyNumberFormat="1" applyFont="1" applyFill="1" applyBorder="1" applyAlignment="1">
      <alignment horizontal="center" vertical="center"/>
    </xf>
    <xf numFmtId="2" fontId="25" fillId="7" borderId="52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5" fontId="14" fillId="0" borderId="0" xfId="3" applyFont="1" applyBorder="1" applyAlignment="1">
      <alignment vertical="center"/>
    </xf>
    <xf numFmtId="165" fontId="14" fillId="0" borderId="0" xfId="3" applyFont="1" applyAlignment="1">
      <alignment vertical="center"/>
    </xf>
    <xf numFmtId="165" fontId="16" fillId="0" borderId="0" xfId="3" applyFont="1" applyAlignment="1">
      <alignment vertical="center"/>
    </xf>
    <xf numFmtId="0" fontId="16" fillId="0" borderId="35" xfId="0" applyFont="1" applyBorder="1" applyAlignment="1">
      <alignment vertical="center"/>
    </xf>
    <xf numFmtId="165" fontId="16" fillId="0" borderId="0" xfId="3" applyFont="1" applyFill="1" applyBorder="1" applyAlignment="1">
      <alignment vertical="center"/>
    </xf>
    <xf numFmtId="165" fontId="16" fillId="0" borderId="36" xfId="3" applyFont="1" applyFill="1" applyBorder="1" applyAlignment="1">
      <alignment vertical="center"/>
    </xf>
    <xf numFmtId="165" fontId="14" fillId="0" borderId="18" xfId="3" applyFont="1" applyBorder="1" applyAlignment="1">
      <alignment horizontal="center" vertical="center"/>
    </xf>
    <xf numFmtId="165" fontId="16" fillId="0" borderId="10" xfId="3" applyFont="1" applyBorder="1" applyAlignment="1">
      <alignment vertical="center"/>
    </xf>
    <xf numFmtId="165" fontId="14" fillId="0" borderId="10" xfId="3" applyFont="1" applyBorder="1" applyAlignment="1">
      <alignment vertical="center"/>
    </xf>
    <xf numFmtId="165" fontId="14" fillId="0" borderId="32" xfId="3" applyFont="1" applyBorder="1" applyAlignment="1">
      <alignment vertical="center"/>
    </xf>
    <xf numFmtId="165" fontId="14" fillId="0" borderId="11" xfId="3" applyFont="1" applyBorder="1" applyAlignment="1">
      <alignment horizontal="center" vertical="center"/>
    </xf>
    <xf numFmtId="165" fontId="14" fillId="11" borderId="13" xfId="3" applyFont="1" applyFill="1" applyBorder="1" applyAlignment="1">
      <alignment vertical="center"/>
    </xf>
    <xf numFmtId="165" fontId="14" fillId="11" borderId="8" xfId="0" applyNumberFormat="1" applyFont="1" applyFill="1" applyBorder="1" applyAlignment="1">
      <alignment vertical="center"/>
    </xf>
    <xf numFmtId="165" fontId="14" fillId="11" borderId="8" xfId="3" applyFont="1" applyFill="1" applyBorder="1" applyAlignment="1">
      <alignment vertical="center"/>
    </xf>
    <xf numFmtId="168" fontId="14" fillId="11" borderId="1" xfId="0" applyNumberFormat="1" applyFont="1" applyFill="1" applyBorder="1" applyAlignment="1">
      <alignment vertical="center"/>
    </xf>
    <xf numFmtId="10" fontId="14" fillId="11" borderId="14" xfId="2" applyNumberFormat="1" applyFont="1" applyFill="1" applyBorder="1" applyAlignment="1">
      <alignment vertical="center"/>
    </xf>
    <xf numFmtId="165" fontId="16" fillId="0" borderId="13" xfId="3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165" fontId="16" fillId="0" borderId="8" xfId="3" applyFont="1" applyBorder="1" applyAlignment="1">
      <alignment vertical="center"/>
    </xf>
    <xf numFmtId="168" fontId="16" fillId="0" borderId="1" xfId="0" applyNumberFormat="1" applyFont="1" applyBorder="1" applyAlignment="1">
      <alignment vertical="center"/>
    </xf>
    <xf numFmtId="10" fontId="16" fillId="0" borderId="14" xfId="2" applyNumberFormat="1" applyFont="1" applyBorder="1" applyAlignment="1">
      <alignment vertical="center"/>
    </xf>
    <xf numFmtId="165" fontId="14" fillId="11" borderId="13" xfId="3" applyFont="1" applyFill="1" applyBorder="1" applyAlignment="1">
      <alignment horizontal="left" vertical="center"/>
    </xf>
    <xf numFmtId="4" fontId="14" fillId="11" borderId="8" xfId="0" applyNumberFormat="1" applyFont="1" applyFill="1" applyBorder="1" applyAlignment="1">
      <alignment horizontal="centerContinuous" vertical="center"/>
    </xf>
    <xf numFmtId="165" fontId="16" fillId="0" borderId="13" xfId="3" applyFont="1" applyBorder="1" applyAlignment="1">
      <alignment horizontal="left" vertical="center"/>
    </xf>
    <xf numFmtId="4" fontId="16" fillId="0" borderId="8" xfId="0" applyNumberFormat="1" applyFont="1" applyBorder="1" applyAlignment="1">
      <alignment horizontal="centerContinuous" vertical="center"/>
    </xf>
    <xf numFmtId="168" fontId="14" fillId="11" borderId="33" xfId="0" applyNumberFormat="1" applyFont="1" applyFill="1" applyBorder="1" applyAlignment="1">
      <alignment vertical="center"/>
    </xf>
    <xf numFmtId="165" fontId="14" fillId="8" borderId="4" xfId="3" applyFont="1" applyFill="1" applyBorder="1" applyAlignment="1">
      <alignment horizontal="left" vertical="center"/>
    </xf>
    <xf numFmtId="4" fontId="14" fillId="8" borderId="5" xfId="0" applyNumberFormat="1" applyFont="1" applyFill="1" applyBorder="1" applyAlignment="1">
      <alignment horizontal="centerContinuous" vertical="center"/>
    </xf>
    <xf numFmtId="165" fontId="14" fillId="8" borderId="5" xfId="3" applyFont="1" applyFill="1" applyBorder="1" applyAlignment="1">
      <alignment vertical="center"/>
    </xf>
    <xf numFmtId="164" fontId="14" fillId="8" borderId="31" xfId="0" applyNumberFormat="1" applyFont="1" applyFill="1" applyBorder="1" applyAlignment="1">
      <alignment vertical="center"/>
    </xf>
    <xf numFmtId="9" fontId="14" fillId="8" borderId="17" xfId="2" applyFont="1" applyFill="1" applyBorder="1" applyAlignment="1">
      <alignment vertical="center"/>
    </xf>
    <xf numFmtId="1" fontId="16" fillId="0" borderId="19" xfId="3" applyNumberFormat="1" applyFont="1" applyBorder="1" applyAlignment="1">
      <alignment horizontal="center" vertical="center"/>
    </xf>
    <xf numFmtId="165" fontId="16" fillId="0" borderId="0" xfId="3" applyFont="1" applyBorder="1" applyAlignment="1">
      <alignment vertical="center"/>
    </xf>
    <xf numFmtId="1" fontId="16" fillId="0" borderId="34" xfId="3" applyNumberFormat="1" applyFont="1" applyBorder="1" applyAlignment="1">
      <alignment horizontal="center" vertical="center"/>
    </xf>
    <xf numFmtId="1" fontId="16" fillId="0" borderId="0" xfId="3" applyNumberFormat="1" applyFont="1" applyBorder="1" applyAlignment="1">
      <alignment horizontal="center" vertical="center"/>
    </xf>
    <xf numFmtId="166" fontId="16" fillId="0" borderId="0" xfId="3" applyNumberFormat="1" applyFont="1" applyBorder="1" applyAlignment="1">
      <alignment horizontal="center" vertical="center"/>
    </xf>
    <xf numFmtId="165" fontId="14" fillId="0" borderId="4" xfId="3" applyFont="1" applyBorder="1" applyAlignment="1">
      <alignment vertical="center"/>
    </xf>
    <xf numFmtId="166" fontId="14" fillId="0" borderId="0" xfId="3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14" fillId="2" borderId="16" xfId="3" applyFont="1" applyFill="1" applyBorder="1" applyAlignment="1">
      <alignment horizontal="center" vertical="center"/>
    </xf>
    <xf numFmtId="165" fontId="14" fillId="2" borderId="17" xfId="3" applyFont="1" applyFill="1" applyBorder="1" applyAlignment="1">
      <alignment horizontal="center" vertical="center"/>
    </xf>
    <xf numFmtId="165" fontId="16" fillId="3" borderId="2" xfId="3" applyFont="1" applyFill="1" applyBorder="1" applyAlignment="1">
      <alignment horizontal="center" vertical="center"/>
    </xf>
    <xf numFmtId="165" fontId="16" fillId="0" borderId="2" xfId="3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165" fontId="16" fillId="0" borderId="1" xfId="3" applyFont="1" applyBorder="1" applyAlignment="1">
      <alignment horizontal="center" vertical="center"/>
    </xf>
    <xf numFmtId="165" fontId="16" fillId="0" borderId="1" xfId="3" applyFont="1" applyFill="1" applyBorder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16" fillId="6" borderId="1" xfId="3" applyFont="1" applyFill="1" applyBorder="1" applyAlignment="1">
      <alignment horizontal="center" vertical="center"/>
    </xf>
    <xf numFmtId="165" fontId="16" fillId="0" borderId="1" xfId="3" applyFont="1" applyBorder="1" applyAlignment="1">
      <alignment vertical="center"/>
    </xf>
    <xf numFmtId="165" fontId="14" fillId="2" borderId="6" xfId="3" applyFont="1" applyFill="1" applyBorder="1" applyAlignment="1">
      <alignment horizontal="center" vertical="center"/>
    </xf>
    <xf numFmtId="2" fontId="16" fillId="0" borderId="1" xfId="3" applyNumberFormat="1" applyFont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65" fontId="14" fillId="0" borderId="1" xfId="3" applyFont="1" applyBorder="1" applyAlignment="1">
      <alignment horizontal="center" vertical="center"/>
    </xf>
    <xf numFmtId="166" fontId="16" fillId="0" borderId="1" xfId="3" applyNumberFormat="1" applyFont="1" applyBorder="1" applyAlignment="1">
      <alignment horizontal="center" vertical="center"/>
    </xf>
    <xf numFmtId="166" fontId="16" fillId="0" borderId="1" xfId="3" applyNumberFormat="1" applyFont="1" applyBorder="1" applyAlignment="1">
      <alignment vertical="center"/>
    </xf>
    <xf numFmtId="166" fontId="16" fillId="0" borderId="1" xfId="3" applyNumberFormat="1" applyFont="1" applyFill="1" applyBorder="1" applyAlignment="1">
      <alignment vertical="center"/>
    </xf>
    <xf numFmtId="165" fontId="16" fillId="3" borderId="1" xfId="3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5" fontId="14" fillId="0" borderId="5" xfId="3" applyFont="1" applyBorder="1" applyAlignment="1">
      <alignment vertical="center"/>
    </xf>
    <xf numFmtId="165" fontId="14" fillId="0" borderId="6" xfId="3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13" fontId="16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38" fillId="0" borderId="0" xfId="1" applyFont="1" applyAlignment="1" applyProtection="1">
      <alignment vertical="center"/>
    </xf>
    <xf numFmtId="43" fontId="16" fillId="0" borderId="0" xfId="0" applyNumberFormat="1" applyFont="1" applyAlignment="1">
      <alignment vertical="center"/>
    </xf>
    <xf numFmtId="0" fontId="14" fillId="0" borderId="45" xfId="0" applyFont="1" applyBorder="1" applyAlignment="1">
      <alignment horizontal="center" vertical="center"/>
    </xf>
    <xf numFmtId="165" fontId="14" fillId="0" borderId="45" xfId="3" applyFont="1" applyBorder="1" applyAlignment="1">
      <alignment horizontal="center" vertical="center"/>
    </xf>
    <xf numFmtId="165" fontId="16" fillId="6" borderId="1" xfId="3" applyFont="1" applyFill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165" fontId="14" fillId="0" borderId="45" xfId="3" applyFont="1" applyFill="1" applyBorder="1" applyAlignment="1">
      <alignment horizontal="center" vertical="center"/>
    </xf>
    <xf numFmtId="165" fontId="14" fillId="0" borderId="1" xfId="3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165" fontId="16" fillId="0" borderId="0" xfId="3" applyFont="1" applyFill="1" applyAlignment="1">
      <alignment vertical="center"/>
    </xf>
    <xf numFmtId="166" fontId="14" fillId="0" borderId="1" xfId="3" applyNumberFormat="1" applyFont="1" applyBorder="1" applyAlignment="1">
      <alignment horizontal="center" vertical="center"/>
    </xf>
    <xf numFmtId="167" fontId="14" fillId="0" borderId="1" xfId="3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5" fontId="16" fillId="0" borderId="2" xfId="3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165" fontId="14" fillId="0" borderId="0" xfId="3" applyFont="1" applyFill="1" applyBorder="1" applyAlignment="1">
      <alignment horizontal="center" vertical="center"/>
    </xf>
    <xf numFmtId="165" fontId="39" fillId="0" borderId="0" xfId="3" applyFont="1" applyAlignment="1">
      <alignment vertical="center"/>
    </xf>
    <xf numFmtId="0" fontId="39" fillId="0" borderId="0" xfId="0" applyFont="1" applyAlignment="1">
      <alignment vertical="center"/>
    </xf>
    <xf numFmtId="165" fontId="14" fillId="8" borderId="30" xfId="3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14" fillId="8" borderId="6" xfId="3" applyFont="1" applyFill="1" applyBorder="1" applyAlignment="1">
      <alignment horizontal="center" vertical="center"/>
    </xf>
    <xf numFmtId="165" fontId="16" fillId="0" borderId="7" xfId="3" applyFont="1" applyBorder="1" applyAlignment="1">
      <alignment horizontal="center" vertical="center"/>
    </xf>
    <xf numFmtId="165" fontId="16" fillId="0" borderId="61" xfId="3" applyFont="1" applyBorder="1" applyAlignment="1">
      <alignment horizontal="center" vertical="center"/>
    </xf>
    <xf numFmtId="165" fontId="16" fillId="0" borderId="7" xfId="3" applyFont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vertical="center"/>
    </xf>
    <xf numFmtId="165" fontId="14" fillId="8" borderId="6" xfId="3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1" applyFont="1" applyAlignment="1" applyProtection="1">
      <alignment vertical="center"/>
    </xf>
    <xf numFmtId="165" fontId="14" fillId="0" borderId="62" xfId="3" applyFont="1" applyBorder="1" applyAlignment="1">
      <alignment horizontal="center" vertical="center"/>
    </xf>
    <xf numFmtId="165" fontId="14" fillId="0" borderId="7" xfId="3" applyFont="1" applyBorder="1" applyAlignment="1">
      <alignment horizontal="center" vertical="center"/>
    </xf>
    <xf numFmtId="165" fontId="14" fillId="0" borderId="63" xfId="3" applyFont="1" applyBorder="1" applyAlignment="1">
      <alignment horizontal="center" vertical="center"/>
    </xf>
    <xf numFmtId="3" fontId="16" fillId="3" borderId="6" xfId="0" applyNumberFormat="1" applyFont="1" applyFill="1" applyBorder="1" applyAlignment="1">
      <alignment vertical="center"/>
    </xf>
    <xf numFmtId="0" fontId="16" fillId="0" borderId="64" xfId="0" applyFont="1" applyBorder="1" applyAlignment="1">
      <alignment horizontal="center" vertical="center"/>
    </xf>
    <xf numFmtId="4" fontId="16" fillId="3" borderId="64" xfId="0" applyNumberFormat="1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166" fontId="16" fillId="0" borderId="65" xfId="3" applyNumberFormat="1" applyFont="1" applyBorder="1" applyAlignment="1">
      <alignment horizontal="center" vertical="center"/>
    </xf>
    <xf numFmtId="167" fontId="16" fillId="0" borderId="65" xfId="3" applyNumberFormat="1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66" fontId="16" fillId="0" borderId="66" xfId="3" applyNumberFormat="1" applyFont="1" applyBorder="1" applyAlignment="1">
      <alignment horizontal="center" vertical="center"/>
    </xf>
    <xf numFmtId="167" fontId="16" fillId="0" borderId="66" xfId="3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4" fontId="16" fillId="3" borderId="67" xfId="0" applyNumberFormat="1" applyFont="1" applyFill="1" applyBorder="1" applyAlignment="1">
      <alignment horizontal="center" vertical="center"/>
    </xf>
    <xf numFmtId="165" fontId="16" fillId="3" borderId="67" xfId="3" applyFont="1" applyFill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4" fontId="16" fillId="3" borderId="68" xfId="0" applyNumberFormat="1" applyFont="1" applyFill="1" applyBorder="1" applyAlignment="1">
      <alignment horizontal="center" vertical="center"/>
    </xf>
    <xf numFmtId="165" fontId="16" fillId="3" borderId="68" xfId="3" applyFont="1" applyFill="1" applyBorder="1" applyAlignment="1">
      <alignment horizontal="center" vertical="center"/>
    </xf>
    <xf numFmtId="165" fontId="16" fillId="0" borderId="56" xfId="3" applyFont="1" applyBorder="1" applyAlignment="1">
      <alignment horizontal="center" vertical="center"/>
    </xf>
    <xf numFmtId="165" fontId="16" fillId="0" borderId="69" xfId="3" applyFont="1" applyBorder="1" applyAlignment="1">
      <alignment horizontal="center" vertical="center"/>
    </xf>
    <xf numFmtId="165" fontId="16" fillId="0" borderId="70" xfId="3" applyFont="1" applyBorder="1" applyAlignment="1">
      <alignment horizontal="center" vertical="center"/>
    </xf>
    <xf numFmtId="165" fontId="16" fillId="0" borderId="71" xfId="3" applyFont="1" applyBorder="1" applyAlignment="1">
      <alignment horizontal="center" vertical="center"/>
    </xf>
    <xf numFmtId="165" fontId="16" fillId="0" borderId="72" xfId="3" applyFont="1" applyBorder="1" applyAlignment="1">
      <alignment horizontal="center" vertical="center"/>
    </xf>
    <xf numFmtId="165" fontId="14" fillId="3" borderId="5" xfId="3" applyFont="1" applyFill="1" applyBorder="1" applyAlignment="1">
      <alignment vertical="center"/>
    </xf>
    <xf numFmtId="168" fontId="16" fillId="0" borderId="0" xfId="0" applyNumberFormat="1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172" fontId="16" fillId="0" borderId="34" xfId="0" applyNumberFormat="1" applyFont="1" applyBorder="1" applyAlignment="1">
      <alignment horizontal="right" vertical="center"/>
    </xf>
    <xf numFmtId="0" fontId="16" fillId="0" borderId="73" xfId="0" applyFont="1" applyBorder="1" applyAlignment="1">
      <alignment vertical="center"/>
    </xf>
    <xf numFmtId="165" fontId="16" fillId="8" borderId="36" xfId="3" applyFont="1" applyFill="1" applyBorder="1" applyAlignment="1">
      <alignment vertical="center"/>
    </xf>
    <xf numFmtId="0" fontId="16" fillId="0" borderId="75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65" fontId="16" fillId="8" borderId="74" xfId="3" applyFont="1" applyFill="1" applyBorder="1" applyAlignment="1">
      <alignment horizontal="right" vertical="center"/>
    </xf>
    <xf numFmtId="165" fontId="16" fillId="8" borderId="33" xfId="3" applyFont="1" applyFill="1" applyBorder="1" applyAlignment="1">
      <alignment horizontal="right" vertical="center"/>
    </xf>
    <xf numFmtId="165" fontId="14" fillId="8" borderId="36" xfId="3" applyFont="1" applyFill="1" applyBorder="1" applyAlignment="1">
      <alignment vertical="center"/>
    </xf>
    <xf numFmtId="165" fontId="16" fillId="8" borderId="12" xfId="3" applyFont="1" applyFill="1" applyBorder="1" applyAlignment="1">
      <alignment vertical="center"/>
    </xf>
    <xf numFmtId="165" fontId="16" fillId="8" borderId="77" xfId="3" applyFont="1" applyFill="1" applyBorder="1" applyAlignment="1">
      <alignment vertical="center"/>
    </xf>
    <xf numFmtId="165" fontId="14" fillId="8" borderId="77" xfId="3" applyFont="1" applyFill="1" applyBorder="1" applyAlignment="1">
      <alignment vertical="center"/>
    </xf>
    <xf numFmtId="165" fontId="16" fillId="3" borderId="0" xfId="3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65" fontId="14" fillId="8" borderId="30" xfId="3" applyFont="1" applyFill="1" applyBorder="1" applyAlignment="1">
      <alignment vertical="center"/>
    </xf>
    <xf numFmtId="165" fontId="14" fillId="8" borderId="12" xfId="3" applyFont="1" applyFill="1" applyBorder="1" applyAlignment="1">
      <alignment vertical="center"/>
    </xf>
    <xf numFmtId="165" fontId="16" fillId="8" borderId="78" xfId="3" applyFont="1" applyFill="1" applyBorder="1" applyAlignment="1">
      <alignment vertical="center"/>
    </xf>
    <xf numFmtId="0" fontId="16" fillId="0" borderId="22" xfId="0" applyFont="1" applyBorder="1"/>
    <xf numFmtId="165" fontId="14" fillId="2" borderId="30" xfId="3" applyFont="1" applyFill="1" applyBorder="1" applyAlignment="1">
      <alignment horizontal="center" vertical="center"/>
    </xf>
    <xf numFmtId="13" fontId="16" fillId="3" borderId="2" xfId="0" applyNumberFormat="1" applyFont="1" applyFill="1" applyBorder="1" applyAlignment="1">
      <alignment horizontal="center" vertical="center"/>
    </xf>
    <xf numFmtId="165" fontId="16" fillId="8" borderId="77" xfId="3" applyFont="1" applyFill="1" applyBorder="1"/>
    <xf numFmtId="0" fontId="16" fillId="8" borderId="5" xfId="0" applyFont="1" applyFill="1" applyBorder="1" applyAlignment="1">
      <alignment vertical="center"/>
    </xf>
    <xf numFmtId="165" fontId="16" fillId="8" borderId="5" xfId="3" applyFont="1" applyFill="1" applyBorder="1" applyAlignment="1">
      <alignment vertical="center"/>
    </xf>
    <xf numFmtId="165" fontId="16" fillId="8" borderId="77" xfId="3" applyFont="1" applyFill="1" applyBorder="1" applyAlignment="1">
      <alignment horizontal="center" vertical="center"/>
    </xf>
    <xf numFmtId="0" fontId="14" fillId="0" borderId="79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5" fontId="14" fillId="0" borderId="0" xfId="3" applyFont="1" applyBorder="1" applyAlignment="1">
      <alignment horizontal="center" vertical="center"/>
    </xf>
    <xf numFmtId="165" fontId="16" fillId="8" borderId="12" xfId="3" applyFont="1" applyFill="1" applyBorder="1" applyAlignment="1">
      <alignment horizontal="center" vertical="center"/>
    </xf>
    <xf numFmtId="165" fontId="14" fillId="8" borderId="77" xfId="3" applyFont="1" applyFill="1" applyBorder="1" applyAlignment="1">
      <alignment horizontal="center" vertical="center"/>
    </xf>
    <xf numFmtId="165" fontId="14" fillId="8" borderId="27" xfId="0" applyNumberFormat="1" applyFont="1" applyFill="1" applyBorder="1" applyAlignment="1">
      <alignment vertical="center"/>
    </xf>
    <xf numFmtId="0" fontId="14" fillId="8" borderId="28" xfId="0" applyFont="1" applyFill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16" fillId="0" borderId="81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8" borderId="28" xfId="0" applyFont="1" applyFill="1" applyBorder="1" applyAlignment="1">
      <alignment vertical="center"/>
    </xf>
    <xf numFmtId="165" fontId="14" fillId="8" borderId="5" xfId="3" applyFont="1" applyFill="1" applyBorder="1" applyAlignment="1">
      <alignment horizontal="right" vertical="center"/>
    </xf>
    <xf numFmtId="165" fontId="14" fillId="2" borderId="6" xfId="3" applyFont="1" applyFill="1" applyBorder="1" applyAlignment="1">
      <alignment horizontal="right" vertical="center"/>
    </xf>
    <xf numFmtId="168" fontId="14" fillId="9" borderId="16" xfId="0" applyNumberFormat="1" applyFont="1" applyFill="1" applyBorder="1" applyAlignment="1">
      <alignment vertical="center"/>
    </xf>
    <xf numFmtId="10" fontId="14" fillId="9" borderId="6" xfId="2" applyNumberFormat="1" applyFont="1" applyFill="1" applyBorder="1" applyAlignment="1">
      <alignment vertical="center"/>
    </xf>
    <xf numFmtId="10" fontId="16" fillId="0" borderId="14" xfId="2" applyNumberFormat="1" applyFont="1" applyFill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165" fontId="16" fillId="0" borderId="22" xfId="3" applyFont="1" applyBorder="1" applyAlignment="1">
      <alignment vertical="center"/>
    </xf>
    <xf numFmtId="165" fontId="14" fillId="0" borderId="22" xfId="3" applyFont="1" applyBorder="1" applyAlignment="1">
      <alignment vertical="center"/>
    </xf>
    <xf numFmtId="1" fontId="14" fillId="0" borderId="19" xfId="3" applyNumberFormat="1" applyFont="1" applyBorder="1" applyAlignment="1">
      <alignment horizontal="center" vertical="center"/>
    </xf>
    <xf numFmtId="165" fontId="16" fillId="0" borderId="19" xfId="3" applyFont="1" applyBorder="1" applyAlignment="1">
      <alignment vertical="center"/>
    </xf>
    <xf numFmtId="165" fontId="16" fillId="0" borderId="23" xfId="3" applyFont="1" applyBorder="1" applyAlignment="1">
      <alignment vertical="center"/>
    </xf>
    <xf numFmtId="165" fontId="16" fillId="0" borderId="33" xfId="3" applyFont="1" applyBorder="1" applyAlignment="1">
      <alignment vertical="center"/>
    </xf>
    <xf numFmtId="165" fontId="16" fillId="9" borderId="33" xfId="3" applyFont="1" applyFill="1" applyBorder="1" applyAlignment="1">
      <alignment horizontal="right" vertical="center"/>
    </xf>
    <xf numFmtId="165" fontId="14" fillId="2" borderId="6" xfId="3" applyFont="1" applyFill="1" applyBorder="1" applyAlignment="1">
      <alignment vertical="center"/>
    </xf>
    <xf numFmtId="165" fontId="14" fillId="0" borderId="5" xfId="3" applyFont="1" applyBorder="1" applyAlignment="1">
      <alignment horizontal="right" vertical="center"/>
    </xf>
    <xf numFmtId="165" fontId="14" fillId="11" borderId="19" xfId="3" applyFont="1" applyFill="1" applyBorder="1" applyAlignment="1">
      <alignment horizontal="right" vertical="center"/>
    </xf>
    <xf numFmtId="165" fontId="14" fillId="11" borderId="44" xfId="3" applyFont="1" applyFill="1" applyBorder="1" applyAlignment="1">
      <alignment horizontal="right" vertical="center"/>
    </xf>
    <xf numFmtId="1" fontId="16" fillId="0" borderId="3" xfId="0" applyNumberFormat="1" applyFont="1" applyBorder="1" applyAlignment="1">
      <alignment horizontal="center" vertical="center"/>
    </xf>
    <xf numFmtId="165" fontId="16" fillId="0" borderId="3" xfId="3" applyFont="1" applyBorder="1" applyAlignment="1">
      <alignment horizontal="center" vertical="center"/>
    </xf>
    <xf numFmtId="165" fontId="14" fillId="8" borderId="6" xfId="3" applyFont="1" applyFill="1" applyBorder="1" applyAlignment="1">
      <alignment horizontal="right" vertical="center"/>
    </xf>
    <xf numFmtId="9" fontId="16" fillId="0" borderId="0" xfId="2" applyFont="1" applyAlignment="1">
      <alignment vertical="center"/>
    </xf>
    <xf numFmtId="0" fontId="14" fillId="0" borderId="0" xfId="0" applyFont="1" applyAlignment="1">
      <alignment horizontal="left" vertical="center"/>
    </xf>
    <xf numFmtId="168" fontId="14" fillId="11" borderId="3" xfId="0" applyNumberFormat="1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73" xfId="0" applyFont="1" applyBorder="1" applyAlignment="1">
      <alignment vertical="center" wrapText="1"/>
    </xf>
    <xf numFmtId="10" fontId="16" fillId="11" borderId="14" xfId="2" applyNumberFormat="1" applyFont="1" applyFill="1" applyBorder="1" applyAlignment="1">
      <alignment vertical="center"/>
    </xf>
    <xf numFmtId="0" fontId="16" fillId="0" borderId="28" xfId="0" applyFont="1" applyBorder="1" applyAlignment="1">
      <alignment vertical="center"/>
    </xf>
    <xf numFmtId="4" fontId="16" fillId="0" borderId="28" xfId="0" applyNumberFormat="1" applyFont="1" applyBorder="1" applyAlignment="1">
      <alignment vertical="center"/>
    </xf>
    <xf numFmtId="165" fontId="16" fillId="0" borderId="28" xfId="3" applyFont="1" applyFill="1" applyBorder="1" applyAlignment="1">
      <alignment vertical="center"/>
    </xf>
    <xf numFmtId="4" fontId="1" fillId="13" borderId="60" xfId="5" applyFill="1" applyBorder="1" applyAlignment="1">
      <alignment vertical="center"/>
    </xf>
    <xf numFmtId="4" fontId="41" fillId="13" borderId="0" xfId="5" applyFont="1" applyFill="1" applyAlignment="1">
      <alignment vertical="center"/>
    </xf>
    <xf numFmtId="4" fontId="1" fillId="13" borderId="39" xfId="5" applyFill="1" applyBorder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5" applyFont="1" applyAlignment="1">
      <alignment vertical="center"/>
    </xf>
    <xf numFmtId="4" fontId="19" fillId="14" borderId="85" xfId="5" applyFont="1" applyFill="1" applyBorder="1" applyAlignment="1">
      <alignment vertical="center"/>
    </xf>
    <xf numFmtId="4" fontId="19" fillId="14" borderId="86" xfId="5" applyFont="1" applyFill="1" applyBorder="1" applyAlignment="1">
      <alignment horizontal="center" vertical="center"/>
    </xf>
    <xf numFmtId="174" fontId="19" fillId="14" borderId="86" xfId="4" applyFont="1" applyFill="1" applyBorder="1" applyAlignment="1">
      <alignment horizontal="center" vertical="center"/>
    </xf>
    <xf numFmtId="4" fontId="19" fillId="14" borderId="87" xfId="5" applyFont="1" applyFill="1" applyBorder="1" applyAlignment="1">
      <alignment horizontal="center" vertical="center"/>
    </xf>
    <xf numFmtId="4" fontId="19" fillId="14" borderId="88" xfId="5" applyFont="1" applyFill="1" applyBorder="1" applyAlignment="1">
      <alignment horizontal="center" vertical="center"/>
    </xf>
    <xf numFmtId="4" fontId="2" fillId="0" borderId="0" xfId="5" applyFont="1" applyAlignment="1">
      <alignment horizontal="center" vertical="center"/>
    </xf>
    <xf numFmtId="4" fontId="13" fillId="15" borderId="90" xfId="5" applyFont="1" applyFill="1" applyBorder="1" applyAlignment="1">
      <alignment vertical="center"/>
    </xf>
    <xf numFmtId="174" fontId="13" fillId="15" borderId="91" xfId="4" applyFont="1" applyFill="1" applyBorder="1" applyAlignment="1">
      <alignment vertical="center"/>
    </xf>
    <xf numFmtId="10" fontId="13" fillId="15" borderId="91" xfId="2" applyNumberFormat="1" applyFont="1" applyFill="1" applyBorder="1" applyAlignment="1">
      <alignment horizontal="center" vertical="center"/>
    </xf>
    <xf numFmtId="175" fontId="13" fillId="15" borderId="91" xfId="5" applyNumberFormat="1" applyFont="1" applyFill="1" applyBorder="1" applyAlignment="1">
      <alignment vertical="center"/>
    </xf>
    <xf numFmtId="175" fontId="13" fillId="15" borderId="92" xfId="5" applyNumberFormat="1" applyFont="1" applyFill="1" applyBorder="1" applyAlignment="1">
      <alignment vertical="center"/>
    </xf>
    <xf numFmtId="4" fontId="2" fillId="2" borderId="0" xfId="5" applyFont="1" applyFill="1" applyAlignment="1">
      <alignment vertical="center"/>
    </xf>
    <xf numFmtId="4" fontId="1" fillId="0" borderId="0" xfId="5" applyAlignment="1">
      <alignment vertical="center"/>
    </xf>
    <xf numFmtId="166" fontId="19" fillId="16" borderId="93" xfId="6" applyNumberFormat="1" applyFont="1" applyFill="1" applyBorder="1" applyAlignment="1">
      <alignment horizontal="center" vertical="center"/>
    </xf>
    <xf numFmtId="4" fontId="19" fillId="16" borderId="94" xfId="5" applyFont="1" applyFill="1" applyBorder="1" applyAlignment="1">
      <alignment vertical="center"/>
    </xf>
    <xf numFmtId="174" fontId="19" fillId="12" borderId="95" xfId="4" applyFont="1" applyFill="1" applyBorder="1" applyAlignment="1">
      <alignment vertical="center"/>
    </xf>
    <xf numFmtId="10" fontId="19" fillId="16" borderId="95" xfId="2" applyNumberFormat="1" applyFont="1" applyFill="1" applyBorder="1" applyAlignment="1">
      <alignment horizontal="center" vertical="center"/>
    </xf>
    <xf numFmtId="175" fontId="19" fillId="16" borderId="95" xfId="5" applyNumberFormat="1" applyFont="1" applyFill="1" applyBorder="1" applyAlignment="1">
      <alignment vertical="center"/>
    </xf>
    <xf numFmtId="175" fontId="19" fillId="16" borderId="96" xfId="5" applyNumberFormat="1" applyFont="1" applyFill="1" applyBorder="1" applyAlignment="1">
      <alignment vertical="center"/>
    </xf>
    <xf numFmtId="4" fontId="1" fillId="0" borderId="0" xfId="5" applyAlignment="1">
      <alignment horizontal="center" vertical="center"/>
    </xf>
    <xf numFmtId="174" fontId="1" fillId="0" borderId="0" xfId="4" applyFont="1" applyAlignment="1">
      <alignment vertical="center"/>
    </xf>
    <xf numFmtId="0" fontId="19" fillId="15" borderId="89" xfId="6" applyNumberFormat="1" applyFont="1" applyFill="1" applyBorder="1" applyAlignment="1">
      <alignment horizontal="center" vertical="center"/>
    </xf>
    <xf numFmtId="4" fontId="19" fillId="14" borderId="0" xfId="5" applyFont="1" applyFill="1" applyAlignment="1">
      <alignment horizontal="center"/>
    </xf>
    <xf numFmtId="174" fontId="19" fillId="14" borderId="98" xfId="4" applyFont="1" applyFill="1" applyBorder="1" applyAlignment="1">
      <alignment horizontal="center" vertical="center"/>
    </xf>
    <xf numFmtId="4" fontId="19" fillId="14" borderId="98" xfId="5" applyFont="1" applyFill="1" applyBorder="1" applyAlignment="1">
      <alignment horizontal="center" vertical="center"/>
    </xf>
    <xf numFmtId="10" fontId="14" fillId="3" borderId="6" xfId="2" applyNumberFormat="1" applyFont="1" applyFill="1" applyBorder="1" applyAlignment="1">
      <alignment vertical="center"/>
    </xf>
    <xf numFmtId="176" fontId="16" fillId="9" borderId="33" xfId="3" applyNumberFormat="1" applyFont="1" applyFill="1" applyBorder="1" applyAlignment="1">
      <alignment vertical="center"/>
    </xf>
    <xf numFmtId="176" fontId="16" fillId="9" borderId="78" xfId="3" applyNumberFormat="1" applyFont="1" applyFill="1" applyBorder="1" applyAlignment="1">
      <alignment vertical="center"/>
    </xf>
    <xf numFmtId="176" fontId="16" fillId="8" borderId="33" xfId="3" applyNumberFormat="1" applyFont="1" applyFill="1" applyBorder="1" applyAlignment="1">
      <alignment vertical="center"/>
    </xf>
    <xf numFmtId="176" fontId="16" fillId="8" borderId="78" xfId="3" applyNumberFormat="1" applyFont="1" applyFill="1" applyBorder="1" applyAlignment="1">
      <alignment vertical="center"/>
    </xf>
    <xf numFmtId="166" fontId="16" fillId="0" borderId="3" xfId="3" applyNumberFormat="1" applyFont="1" applyFill="1" applyBorder="1" applyAlignment="1">
      <alignment vertical="center"/>
    </xf>
    <xf numFmtId="165" fontId="16" fillId="0" borderId="63" xfId="3" applyFont="1" applyBorder="1" applyAlignment="1">
      <alignment vertical="center"/>
    </xf>
    <xf numFmtId="165" fontId="16" fillId="8" borderId="100" xfId="3" applyFont="1" applyFill="1" applyBorder="1" applyAlignment="1">
      <alignment horizontal="right" vertical="center"/>
    </xf>
    <xf numFmtId="176" fontId="16" fillId="8" borderId="100" xfId="3" applyNumberFormat="1" applyFont="1" applyFill="1" applyBorder="1" applyAlignment="1">
      <alignment vertical="center"/>
    </xf>
    <xf numFmtId="165" fontId="14" fillId="4" borderId="1" xfId="3" applyFont="1" applyFill="1" applyBorder="1" applyAlignment="1">
      <alignment vertical="center"/>
    </xf>
    <xf numFmtId="165" fontId="16" fillId="4" borderId="1" xfId="3" applyFont="1" applyFill="1" applyBorder="1" applyAlignment="1">
      <alignment vertical="center"/>
    </xf>
    <xf numFmtId="165" fontId="14" fillId="8" borderId="19" xfId="3" applyFont="1" applyFill="1" applyBorder="1" applyAlignment="1">
      <alignment vertical="center"/>
    </xf>
    <xf numFmtId="10" fontId="16" fillId="0" borderId="0" xfId="0" applyNumberFormat="1" applyFont="1"/>
    <xf numFmtId="177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178" fontId="16" fillId="0" borderId="0" xfId="0" applyNumberFormat="1" applyFont="1" applyAlignment="1">
      <alignment vertical="center"/>
    </xf>
    <xf numFmtId="179" fontId="16" fillId="0" borderId="0" xfId="7" applyNumberFormat="1" applyFont="1" applyAlignment="1">
      <alignment vertical="center"/>
    </xf>
    <xf numFmtId="180" fontId="16" fillId="0" borderId="0" xfId="0" applyNumberFormat="1" applyFont="1" applyAlignment="1">
      <alignment vertical="center"/>
    </xf>
    <xf numFmtId="167" fontId="16" fillId="0" borderId="0" xfId="3" applyNumberFormat="1" applyFont="1" applyAlignment="1">
      <alignment vertical="center"/>
    </xf>
    <xf numFmtId="167" fontId="16" fillId="0" borderId="0" xfId="3" applyNumberFormat="1" applyFont="1" applyFill="1" applyAlignment="1">
      <alignment vertical="center"/>
    </xf>
    <xf numFmtId="168" fontId="16" fillId="0" borderId="0" xfId="3" applyNumberFormat="1" applyFont="1" applyAlignment="1">
      <alignment vertical="center"/>
    </xf>
    <xf numFmtId="180" fontId="16" fillId="3" borderId="1" xfId="3" applyNumberFormat="1" applyFont="1" applyFill="1" applyBorder="1" applyAlignment="1">
      <alignment horizontal="center" vertical="center"/>
    </xf>
    <xf numFmtId="0" fontId="16" fillId="0" borderId="0" xfId="3" applyNumberFormat="1" applyFont="1" applyAlignment="1">
      <alignment vertical="center"/>
    </xf>
    <xf numFmtId="180" fontId="16" fillId="0" borderId="0" xfId="0" applyNumberFormat="1" applyFont="1"/>
    <xf numFmtId="180" fontId="16" fillId="3" borderId="2" xfId="3" applyNumberFormat="1" applyFont="1" applyFill="1" applyBorder="1" applyAlignment="1">
      <alignment horizontal="center" vertical="center"/>
    </xf>
    <xf numFmtId="180" fontId="16" fillId="0" borderId="2" xfId="3" applyNumberFormat="1" applyFont="1" applyBorder="1" applyAlignment="1">
      <alignment horizontal="center" vertical="center"/>
    </xf>
    <xf numFmtId="180" fontId="16" fillId="3" borderId="0" xfId="3" applyNumberFormat="1" applyFont="1" applyFill="1" applyBorder="1" applyAlignment="1">
      <alignment vertical="center"/>
    </xf>
    <xf numFmtId="180" fontId="16" fillId="8" borderId="33" xfId="3" applyNumberFormat="1" applyFont="1" applyFill="1" applyBorder="1" applyAlignment="1">
      <alignment horizontal="right" vertical="center"/>
    </xf>
    <xf numFmtId="180" fontId="16" fillId="3" borderId="68" xfId="3" applyNumberFormat="1" applyFont="1" applyFill="1" applyBorder="1" applyAlignment="1">
      <alignment horizontal="center" vertical="center"/>
    </xf>
    <xf numFmtId="180" fontId="16" fillId="3" borderId="67" xfId="3" applyNumberFormat="1" applyFont="1" applyFill="1" applyBorder="1" applyAlignment="1">
      <alignment horizontal="center" vertical="center"/>
    </xf>
    <xf numFmtId="181" fontId="14" fillId="0" borderId="1" xfId="0" applyNumberFormat="1" applyFont="1" applyBorder="1" applyAlignment="1">
      <alignment horizontal="center" vertical="center"/>
    </xf>
    <xf numFmtId="10" fontId="16" fillId="0" borderId="0" xfId="0" applyNumberFormat="1" applyFont="1" applyAlignment="1">
      <alignment vertical="center"/>
    </xf>
    <xf numFmtId="182" fontId="14" fillId="3" borderId="64" xfId="3" applyNumberFormat="1" applyFont="1" applyFill="1" applyBorder="1" applyAlignment="1">
      <alignment horizontal="center" vertical="center"/>
    </xf>
    <xf numFmtId="44" fontId="16" fillId="0" borderId="0" xfId="0" applyNumberFormat="1" applyFont="1" applyAlignment="1">
      <alignment vertical="center"/>
    </xf>
    <xf numFmtId="0" fontId="14" fillId="3" borderId="0" xfId="0" applyFont="1" applyFill="1" applyAlignment="1">
      <alignment vertical="center"/>
    </xf>
    <xf numFmtId="44" fontId="16" fillId="0" borderId="0" xfId="7" applyFont="1" applyAlignment="1">
      <alignment vertical="center"/>
    </xf>
    <xf numFmtId="44" fontId="14" fillId="0" borderId="0" xfId="7" applyFont="1" applyAlignment="1">
      <alignment vertical="center"/>
    </xf>
    <xf numFmtId="44" fontId="39" fillId="0" borderId="0" xfId="7" applyFont="1" applyAlignment="1">
      <alignment vertical="center"/>
    </xf>
    <xf numFmtId="44" fontId="16" fillId="0" borderId="0" xfId="7" applyFont="1"/>
    <xf numFmtId="4" fontId="14" fillId="3" borderId="6" xfId="0" applyNumberFormat="1" applyFont="1" applyFill="1" applyBorder="1" applyAlignment="1">
      <alignment horizontal="right" vertical="center"/>
    </xf>
    <xf numFmtId="165" fontId="14" fillId="4" borderId="5" xfId="3" applyFont="1" applyFill="1" applyBorder="1" applyAlignment="1">
      <alignment vertical="center"/>
    </xf>
    <xf numFmtId="165" fontId="16" fillId="0" borderId="66" xfId="3" applyFont="1" applyBorder="1" applyAlignment="1">
      <alignment horizontal="center" vertical="center"/>
    </xf>
    <xf numFmtId="165" fontId="16" fillId="0" borderId="65" xfId="3" applyFont="1" applyBorder="1" applyAlignment="1">
      <alignment horizontal="center" vertical="center"/>
    </xf>
    <xf numFmtId="165" fontId="14" fillId="3" borderId="6" xfId="0" applyNumberFormat="1" applyFont="1" applyFill="1" applyBorder="1" applyAlignment="1">
      <alignment vertical="center"/>
    </xf>
    <xf numFmtId="165" fontId="14" fillId="0" borderId="13" xfId="3" applyFont="1" applyBorder="1" applyAlignment="1">
      <alignment horizontal="left" vertical="center"/>
    </xf>
    <xf numFmtId="168" fontId="14" fillId="0" borderId="1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left" vertical="center" wrapText="1"/>
    </xf>
    <xf numFmtId="165" fontId="14" fillId="11" borderId="2" xfId="3" applyFont="1" applyFill="1" applyBorder="1" applyAlignment="1">
      <alignment horizontal="center" vertical="center"/>
    </xf>
    <xf numFmtId="4" fontId="14" fillId="11" borderId="8" xfId="0" applyNumberFormat="1" applyFont="1" applyFill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4" fontId="14" fillId="8" borderId="5" xfId="0" applyNumberFormat="1" applyFont="1" applyFill="1" applyBorder="1" applyAlignment="1">
      <alignment horizontal="center" vertical="center"/>
    </xf>
    <xf numFmtId="165" fontId="16" fillId="11" borderId="13" xfId="3" applyFont="1" applyFill="1" applyBorder="1" applyAlignment="1">
      <alignment vertical="center"/>
    </xf>
    <xf numFmtId="168" fontId="16" fillId="11" borderId="1" xfId="0" applyNumberFormat="1" applyFont="1" applyFill="1" applyBorder="1" applyAlignment="1">
      <alignment vertical="center"/>
    </xf>
    <xf numFmtId="165" fontId="16" fillId="11" borderId="73" xfId="3" applyFont="1" applyFill="1" applyBorder="1" applyAlignment="1">
      <alignment horizontal="left" vertical="center"/>
    </xf>
    <xf numFmtId="165" fontId="16" fillId="0" borderId="75" xfId="3" applyFont="1" applyBorder="1" applyAlignment="1">
      <alignment vertical="center"/>
    </xf>
    <xf numFmtId="165" fontId="16" fillId="0" borderId="3" xfId="3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" fontId="16" fillId="0" borderId="102" xfId="3" applyNumberFormat="1" applyFont="1" applyBorder="1" applyAlignment="1">
      <alignment horizontal="center" vertical="center"/>
    </xf>
    <xf numFmtId="0" fontId="16" fillId="11" borderId="75" xfId="0" applyFont="1" applyFill="1" applyBorder="1" applyAlignment="1">
      <alignment horizontal="left" vertical="center"/>
    </xf>
    <xf numFmtId="0" fontId="14" fillId="11" borderId="3" xfId="0" applyFont="1" applyFill="1" applyBorder="1" applyAlignment="1">
      <alignment horizontal="center" vertical="center"/>
    </xf>
    <xf numFmtId="165" fontId="14" fillId="2" borderId="77" xfId="3" applyFont="1" applyFill="1" applyBorder="1" applyAlignment="1">
      <alignment horizontal="center" vertical="center"/>
    </xf>
    <xf numFmtId="43" fontId="16" fillId="0" borderId="1" xfId="3" applyNumberFormat="1" applyFont="1" applyBorder="1" applyAlignment="1">
      <alignment horizontal="center" vertical="center"/>
    </xf>
    <xf numFmtId="0" fontId="16" fillId="0" borderId="103" xfId="0" applyFont="1" applyBorder="1" applyAlignment="1">
      <alignment vertical="center"/>
    </xf>
    <xf numFmtId="0" fontId="16" fillId="0" borderId="104" xfId="0" applyFont="1" applyBorder="1" applyAlignment="1">
      <alignment horizontal="center" vertical="center"/>
    </xf>
    <xf numFmtId="4" fontId="16" fillId="3" borderId="104" xfId="0" applyNumberFormat="1" applyFont="1" applyFill="1" applyBorder="1" applyAlignment="1">
      <alignment horizontal="center" vertical="center"/>
    </xf>
    <xf numFmtId="167" fontId="16" fillId="3" borderId="64" xfId="3" applyNumberFormat="1" applyFont="1" applyFill="1" applyBorder="1" applyAlignment="1">
      <alignment horizontal="center" vertical="center"/>
    </xf>
    <xf numFmtId="165" fontId="16" fillId="0" borderId="105" xfId="3" applyFont="1" applyBorder="1" applyAlignment="1">
      <alignment horizontal="center" vertical="center"/>
    </xf>
    <xf numFmtId="167" fontId="16" fillId="0" borderId="1" xfId="3" applyNumberFormat="1" applyFont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10" fontId="16" fillId="6" borderId="1" xfId="2" applyNumberFormat="1" applyFont="1" applyFill="1" applyBorder="1" applyAlignment="1">
      <alignment horizontal="center" vertical="center"/>
    </xf>
    <xf numFmtId="167" fontId="14" fillId="3" borderId="5" xfId="3" applyNumberFormat="1" applyFont="1" applyFill="1" applyBorder="1" applyAlignment="1">
      <alignment vertical="center"/>
    </xf>
    <xf numFmtId="10" fontId="14" fillId="8" borderId="14" xfId="2" applyNumberFormat="1" applyFont="1" applyFill="1" applyBorder="1" applyAlignment="1">
      <alignment vertical="center"/>
    </xf>
    <xf numFmtId="165" fontId="14" fillId="8" borderId="13" xfId="3" applyFont="1" applyFill="1" applyBorder="1" applyAlignment="1">
      <alignment horizontal="left" vertical="center"/>
    </xf>
    <xf numFmtId="4" fontId="14" fillId="8" borderId="8" xfId="0" applyNumberFormat="1" applyFont="1" applyFill="1" applyBorder="1" applyAlignment="1">
      <alignment horizontal="centerContinuous" vertical="center"/>
    </xf>
    <xf numFmtId="165" fontId="14" fillId="8" borderId="8" xfId="3" applyFont="1" applyFill="1" applyBorder="1" applyAlignment="1">
      <alignment vertical="center"/>
    </xf>
    <xf numFmtId="168" fontId="14" fillId="8" borderId="1" xfId="0" applyNumberFormat="1" applyFont="1" applyFill="1" applyBorder="1" applyAlignment="1">
      <alignment vertical="center"/>
    </xf>
    <xf numFmtId="165" fontId="14" fillId="8" borderId="82" xfId="3" applyFont="1" applyFill="1" applyBorder="1" applyAlignment="1">
      <alignment horizontal="left" vertical="center"/>
    </xf>
    <xf numFmtId="4" fontId="14" fillId="8" borderId="60" xfId="0" applyNumberFormat="1" applyFont="1" applyFill="1" applyBorder="1" applyAlignment="1">
      <alignment horizontal="centerContinuous" vertical="center"/>
    </xf>
    <xf numFmtId="165" fontId="14" fillId="8" borderId="60" xfId="3" applyFont="1" applyFill="1" applyBorder="1" applyAlignment="1">
      <alignment vertical="center"/>
    </xf>
    <xf numFmtId="168" fontId="14" fillId="8" borderId="3" xfId="0" applyNumberFormat="1" applyFont="1" applyFill="1" applyBorder="1" applyAlignment="1">
      <alignment vertical="center"/>
    </xf>
    <xf numFmtId="165" fontId="14" fillId="8" borderId="13" xfId="3" applyFont="1" applyFill="1" applyBorder="1" applyAlignment="1">
      <alignment vertical="center"/>
    </xf>
    <xf numFmtId="165" fontId="14" fillId="8" borderId="8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4" fontId="14" fillId="3" borderId="6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07" xfId="0" applyFont="1" applyBorder="1" applyAlignment="1">
      <alignment horizontal="center" vertical="center"/>
    </xf>
    <xf numFmtId="165" fontId="16" fillId="3" borderId="107" xfId="3" applyFont="1" applyFill="1" applyBorder="1" applyAlignment="1">
      <alignment horizontal="center" vertical="center"/>
    </xf>
    <xf numFmtId="165" fontId="16" fillId="0" borderId="107" xfId="3" applyFont="1" applyBorder="1" applyAlignment="1">
      <alignment horizontal="center" vertical="center"/>
    </xf>
    <xf numFmtId="4" fontId="14" fillId="0" borderId="0" xfId="0" applyNumberFormat="1" applyFont="1" applyAlignment="1">
      <alignment vertical="center" wrapText="1"/>
    </xf>
    <xf numFmtId="10" fontId="14" fillId="0" borderId="14" xfId="2" applyNumberFormat="1" applyFont="1" applyBorder="1" applyAlignment="1">
      <alignment vertical="center"/>
    </xf>
    <xf numFmtId="181" fontId="16" fillId="0" borderId="19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0" fontId="47" fillId="0" borderId="109" xfId="0" applyFont="1" applyBorder="1"/>
    <xf numFmtId="3" fontId="47" fillId="0" borderId="109" xfId="0" applyNumberFormat="1" applyFont="1" applyBorder="1" applyAlignment="1">
      <alignment horizontal="center"/>
    </xf>
    <xf numFmtId="166" fontId="47" fillId="0" borderId="109" xfId="3" applyNumberFormat="1" applyFont="1" applyBorder="1" applyAlignment="1"/>
    <xf numFmtId="14" fontId="0" fillId="0" borderId="8" xfId="0" applyNumberForma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165" fontId="14" fillId="0" borderId="3" xfId="3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8" fontId="16" fillId="0" borderId="0" xfId="3" quotePrefix="1" applyNumberFormat="1" applyFont="1" applyAlignment="1">
      <alignment vertical="center"/>
    </xf>
    <xf numFmtId="0" fontId="16" fillId="0" borderId="9" xfId="0" applyFont="1" applyBorder="1" applyAlignment="1">
      <alignment vertical="center"/>
    </xf>
    <xf numFmtId="165" fontId="16" fillId="3" borderId="3" xfId="3" applyFont="1" applyFill="1" applyBorder="1" applyAlignment="1">
      <alignment horizontal="center" vertical="center"/>
    </xf>
    <xf numFmtId="165" fontId="14" fillId="8" borderId="13" xfId="3" applyFont="1" applyFill="1" applyBorder="1" applyAlignment="1">
      <alignment horizontal="left" vertical="center"/>
    </xf>
    <xf numFmtId="165" fontId="14" fillId="8" borderId="8" xfId="3" applyFont="1" applyFill="1" applyBorder="1" applyAlignment="1">
      <alignment horizontal="left" vertical="center"/>
    </xf>
    <xf numFmtId="165" fontId="14" fillId="9" borderId="4" xfId="3" applyFont="1" applyFill="1" applyBorder="1" applyAlignment="1">
      <alignment horizontal="left" vertical="center"/>
    </xf>
    <xf numFmtId="165" fontId="14" fillId="9" borderId="5" xfId="3" applyFont="1" applyFill="1" applyBorder="1" applyAlignment="1">
      <alignment horizontal="left" vertical="center"/>
    </xf>
    <xf numFmtId="165" fontId="14" fillId="9" borderId="40" xfId="3" applyFont="1" applyFill="1" applyBorder="1" applyAlignment="1">
      <alignment horizontal="left" vertical="center"/>
    </xf>
    <xf numFmtId="165" fontId="14" fillId="8" borderId="4" xfId="3" applyFont="1" applyFill="1" applyBorder="1" applyAlignment="1">
      <alignment horizontal="center" vertical="center"/>
    </xf>
    <xf numFmtId="165" fontId="14" fillId="8" borderId="5" xfId="3" applyFont="1" applyFill="1" applyBorder="1" applyAlignment="1">
      <alignment horizontal="center" vertical="center"/>
    </xf>
    <xf numFmtId="165" fontId="14" fillId="8" borderId="6" xfId="3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4" fontId="19" fillId="14" borderId="97" xfId="5" applyFont="1" applyFill="1" applyBorder="1" applyAlignment="1">
      <alignment horizontal="center" vertical="center"/>
    </xf>
    <xf numFmtId="4" fontId="19" fillId="14" borderId="85" xfId="5" applyFont="1" applyFill="1" applyBorder="1" applyAlignment="1">
      <alignment horizontal="center" vertical="center"/>
    </xf>
    <xf numFmtId="4" fontId="19" fillId="14" borderId="99" xfId="5" applyFont="1" applyFill="1" applyBorder="1" applyAlignment="1">
      <alignment horizontal="center" vertical="center"/>
    </xf>
    <xf numFmtId="0" fontId="42" fillId="12" borderId="24" xfId="0" applyFont="1" applyFill="1" applyBorder="1" applyAlignment="1">
      <alignment horizontal="center" vertical="center"/>
    </xf>
    <xf numFmtId="0" fontId="42" fillId="12" borderId="25" xfId="0" applyFont="1" applyFill="1" applyBorder="1" applyAlignment="1">
      <alignment horizontal="center" vertical="center"/>
    </xf>
    <xf numFmtId="0" fontId="42" fillId="12" borderId="26" xfId="0" applyFont="1" applyFill="1" applyBorder="1" applyAlignment="1">
      <alignment horizontal="center" vertical="center"/>
    </xf>
    <xf numFmtId="0" fontId="42" fillId="12" borderId="27" xfId="0" applyFont="1" applyFill="1" applyBorder="1" applyAlignment="1">
      <alignment horizontal="center" vertical="center"/>
    </xf>
    <xf numFmtId="0" fontId="42" fillId="12" borderId="28" xfId="0" applyFont="1" applyFill="1" applyBorder="1" applyAlignment="1">
      <alignment horizontal="center" vertical="center"/>
    </xf>
    <xf numFmtId="0" fontId="42" fillId="12" borderId="29" xfId="0" applyFont="1" applyFill="1" applyBorder="1" applyAlignment="1">
      <alignment horizontal="center" vertical="center"/>
    </xf>
    <xf numFmtId="4" fontId="19" fillId="14" borderId="83" xfId="5" applyFont="1" applyFill="1" applyBorder="1" applyAlignment="1">
      <alignment horizontal="center" vertical="center"/>
    </xf>
    <xf numFmtId="4" fontId="19" fillId="14" borderId="84" xfId="5" applyFont="1" applyFill="1" applyBorder="1" applyAlignment="1">
      <alignment horizontal="center" vertical="center"/>
    </xf>
    <xf numFmtId="174" fontId="14" fillId="12" borderId="24" xfId="4" applyFont="1" applyFill="1" applyBorder="1" applyAlignment="1">
      <alignment horizontal="center" vertical="center"/>
    </xf>
    <xf numFmtId="174" fontId="14" fillId="12" borderId="25" xfId="4" applyFont="1" applyFill="1" applyBorder="1" applyAlignment="1">
      <alignment horizontal="center" vertical="center"/>
    </xf>
    <xf numFmtId="174" fontId="14" fillId="12" borderId="26" xfId="4" applyFont="1" applyFill="1" applyBorder="1" applyAlignment="1">
      <alignment horizontal="center" vertical="center"/>
    </xf>
    <xf numFmtId="174" fontId="14" fillId="12" borderId="35" xfId="4" applyFont="1" applyFill="1" applyBorder="1" applyAlignment="1">
      <alignment horizontal="center" vertical="center"/>
    </xf>
    <xf numFmtId="174" fontId="14" fillId="12" borderId="0" xfId="4" applyFont="1" applyFill="1" applyBorder="1" applyAlignment="1">
      <alignment horizontal="center" vertical="center"/>
    </xf>
    <xf numFmtId="174" fontId="14" fillId="12" borderId="36" xfId="4" applyFont="1" applyFill="1" applyBorder="1" applyAlignment="1">
      <alignment horizontal="center" vertical="center"/>
    </xf>
    <xf numFmtId="0" fontId="42" fillId="14" borderId="27" xfId="0" applyFont="1" applyFill="1" applyBorder="1" applyAlignment="1">
      <alignment horizontal="center" vertical="center"/>
    </xf>
    <xf numFmtId="0" fontId="42" fillId="14" borderId="28" xfId="0" applyFont="1" applyFill="1" applyBorder="1" applyAlignment="1">
      <alignment horizontal="center" vertical="center"/>
    </xf>
    <xf numFmtId="0" fontId="42" fillId="14" borderId="29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left" vertical="center"/>
    </xf>
    <xf numFmtId="0" fontId="14" fillId="8" borderId="37" xfId="0" applyFont="1" applyFill="1" applyBorder="1" applyAlignment="1">
      <alignment horizontal="left" vertical="center"/>
    </xf>
    <xf numFmtId="0" fontId="14" fillId="8" borderId="38" xfId="0" applyFont="1" applyFill="1" applyBorder="1" applyAlignment="1">
      <alignment horizontal="left" vertical="center"/>
    </xf>
    <xf numFmtId="0" fontId="14" fillId="8" borderId="74" xfId="0" applyFont="1" applyFill="1" applyBorder="1" applyAlignment="1">
      <alignment horizontal="left" vertical="center"/>
    </xf>
    <xf numFmtId="165" fontId="14" fillId="2" borderId="37" xfId="3" applyFont="1" applyFill="1" applyBorder="1" applyAlignment="1">
      <alignment horizontal="left" vertical="center"/>
    </xf>
    <xf numFmtId="165" fontId="14" fillId="2" borderId="38" xfId="3" applyFont="1" applyFill="1" applyBorder="1" applyAlignment="1">
      <alignment horizontal="left" vertical="center"/>
    </xf>
    <xf numFmtId="165" fontId="14" fillId="2" borderId="74" xfId="3" applyFont="1" applyFill="1" applyBorder="1" applyAlignment="1">
      <alignment horizontal="left" vertical="center"/>
    </xf>
    <xf numFmtId="165" fontId="14" fillId="2" borderId="27" xfId="3" applyFont="1" applyFill="1" applyBorder="1" applyAlignment="1">
      <alignment horizontal="left" vertical="center"/>
    </xf>
    <xf numFmtId="165" fontId="14" fillId="2" borderId="28" xfId="3" applyFont="1" applyFill="1" applyBorder="1" applyAlignment="1">
      <alignment horizontal="left" vertical="center"/>
    </xf>
    <xf numFmtId="165" fontId="14" fillId="2" borderId="76" xfId="3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4" fillId="8" borderId="37" xfId="0" applyNumberFormat="1" applyFont="1" applyFill="1" applyBorder="1" applyAlignment="1">
      <alignment horizontal="left" vertical="center" wrapText="1"/>
    </xf>
    <xf numFmtId="165" fontId="14" fillId="8" borderId="38" xfId="0" applyNumberFormat="1" applyFont="1" applyFill="1" applyBorder="1" applyAlignment="1">
      <alignment horizontal="left" vertical="center" wrapText="1"/>
    </xf>
    <xf numFmtId="165" fontId="14" fillId="8" borderId="74" xfId="0" applyNumberFormat="1" applyFont="1" applyFill="1" applyBorder="1" applyAlignment="1">
      <alignment horizontal="left" vertical="center" wrapText="1"/>
    </xf>
    <xf numFmtId="165" fontId="14" fillId="8" borderId="37" xfId="0" applyNumberFormat="1" applyFont="1" applyFill="1" applyBorder="1" applyAlignment="1">
      <alignment horizontal="left" vertical="center"/>
    </xf>
    <xf numFmtId="165" fontId="14" fillId="8" borderId="38" xfId="0" applyNumberFormat="1" applyFont="1" applyFill="1" applyBorder="1" applyAlignment="1">
      <alignment horizontal="left" vertical="center"/>
    </xf>
    <xf numFmtId="165" fontId="14" fillId="8" borderId="74" xfId="0" applyNumberFormat="1" applyFont="1" applyFill="1" applyBorder="1" applyAlignment="1">
      <alignment horizontal="left" vertical="center"/>
    </xf>
    <xf numFmtId="165" fontId="14" fillId="11" borderId="13" xfId="3" applyFont="1" applyFill="1" applyBorder="1" applyAlignment="1">
      <alignment horizontal="left" vertical="center"/>
    </xf>
    <xf numFmtId="165" fontId="14" fillId="11" borderId="8" xfId="3" applyFont="1" applyFill="1" applyBorder="1" applyAlignment="1">
      <alignment horizontal="left" vertical="center"/>
    </xf>
    <xf numFmtId="165" fontId="14" fillId="8" borderId="20" xfId="3" applyFont="1" applyFill="1" applyBorder="1" applyAlignment="1">
      <alignment horizontal="center" vertical="center"/>
    </xf>
    <xf numFmtId="165" fontId="14" fillId="8" borderId="21" xfId="3" applyFont="1" applyFill="1" applyBorder="1" applyAlignment="1">
      <alignment horizontal="center" vertical="center"/>
    </xf>
    <xf numFmtId="165" fontId="14" fillId="8" borderId="11" xfId="3" applyFont="1" applyFill="1" applyBorder="1" applyAlignment="1">
      <alignment horizontal="center" vertical="center"/>
    </xf>
    <xf numFmtId="165" fontId="14" fillId="11" borderId="22" xfId="3" applyFont="1" applyFill="1" applyBorder="1" applyAlignment="1">
      <alignment horizontal="center" vertical="center"/>
    </xf>
    <xf numFmtId="165" fontId="14" fillId="11" borderId="1" xfId="3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left" vertical="center"/>
    </xf>
    <xf numFmtId="165" fontId="16" fillId="0" borderId="0" xfId="3" applyFont="1" applyBorder="1" applyAlignment="1">
      <alignment horizontal="left" vertical="center"/>
    </xf>
    <xf numFmtId="0" fontId="14" fillId="11" borderId="22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5" fontId="16" fillId="8" borderId="37" xfId="0" applyNumberFormat="1" applyFont="1" applyFill="1" applyBorder="1" applyAlignment="1">
      <alignment horizontal="left" vertical="center"/>
    </xf>
    <xf numFmtId="165" fontId="16" fillId="8" borderId="38" xfId="0" applyNumberFormat="1" applyFont="1" applyFill="1" applyBorder="1" applyAlignment="1">
      <alignment horizontal="left" vertical="center"/>
    </xf>
    <xf numFmtId="165" fontId="16" fillId="8" borderId="74" xfId="0" applyNumberFormat="1" applyFont="1" applyFill="1" applyBorder="1" applyAlignment="1">
      <alignment horizontal="left" vertical="center"/>
    </xf>
    <xf numFmtId="165" fontId="16" fillId="9" borderId="37" xfId="0" applyNumberFormat="1" applyFont="1" applyFill="1" applyBorder="1" applyAlignment="1">
      <alignment vertical="center"/>
    </xf>
    <xf numFmtId="165" fontId="16" fillId="9" borderId="38" xfId="0" applyNumberFormat="1" applyFont="1" applyFill="1" applyBorder="1" applyAlignment="1">
      <alignment vertical="center"/>
    </xf>
    <xf numFmtId="165" fontId="16" fillId="9" borderId="74" xfId="0" applyNumberFormat="1" applyFont="1" applyFill="1" applyBorder="1" applyAlignment="1">
      <alignment vertical="center"/>
    </xf>
    <xf numFmtId="165" fontId="16" fillId="9" borderId="37" xfId="0" applyNumberFormat="1" applyFont="1" applyFill="1" applyBorder="1" applyAlignment="1">
      <alignment horizontal="left" vertical="center"/>
    </xf>
    <xf numFmtId="165" fontId="16" fillId="9" borderId="38" xfId="0" applyNumberFormat="1" applyFont="1" applyFill="1" applyBorder="1" applyAlignment="1">
      <alignment horizontal="left" vertical="center"/>
    </xf>
    <xf numFmtId="165" fontId="16" fillId="9" borderId="74" xfId="0" applyNumberFormat="1" applyFont="1" applyFill="1" applyBorder="1" applyAlignment="1">
      <alignment horizontal="left" vertical="center"/>
    </xf>
    <xf numFmtId="165" fontId="14" fillId="11" borderId="18" xfId="3" applyFont="1" applyFill="1" applyBorder="1" applyAlignment="1">
      <alignment horizontal="center" vertical="center"/>
    </xf>
    <xf numFmtId="165" fontId="14" fillId="11" borderId="10" xfId="3" applyFont="1" applyFill="1" applyBorder="1" applyAlignment="1">
      <alignment horizontal="center" vertical="center"/>
    </xf>
    <xf numFmtId="165" fontId="14" fillId="11" borderId="101" xfId="3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horizontal="center" vertical="center" wrapText="1"/>
    </xf>
    <xf numFmtId="4" fontId="16" fillId="0" borderId="28" xfId="0" applyNumberFormat="1" applyFont="1" applyBorder="1" applyAlignment="1">
      <alignment horizontal="left" vertical="center" wrapText="1"/>
    </xf>
    <xf numFmtId="4" fontId="16" fillId="0" borderId="29" xfId="0" applyNumberFormat="1" applyFont="1" applyBorder="1" applyAlignment="1">
      <alignment horizontal="left" vertical="center" wrapText="1"/>
    </xf>
    <xf numFmtId="0" fontId="16" fillId="8" borderId="38" xfId="0" applyFont="1" applyFill="1" applyBorder="1" applyAlignment="1">
      <alignment horizontal="left" vertical="center"/>
    </xf>
    <xf numFmtId="165" fontId="14" fillId="8" borderId="23" xfId="0" applyNumberFormat="1" applyFont="1" applyFill="1" applyBorder="1" applyAlignment="1">
      <alignment horizontal="left" vertical="center"/>
    </xf>
    <xf numFmtId="0" fontId="14" fillId="8" borderId="33" xfId="0" applyFont="1" applyFill="1" applyBorder="1" applyAlignment="1">
      <alignment horizontal="left" vertical="center"/>
    </xf>
    <xf numFmtId="165" fontId="14" fillId="8" borderId="15" xfId="3" applyFont="1" applyFill="1" applyBorder="1" applyAlignment="1">
      <alignment horizontal="center" vertical="center"/>
    </xf>
    <xf numFmtId="165" fontId="14" fillId="8" borderId="16" xfId="3" applyFont="1" applyFill="1" applyBorder="1" applyAlignment="1">
      <alignment horizontal="center" vertical="center"/>
    </xf>
    <xf numFmtId="165" fontId="14" fillId="8" borderId="17" xfId="3" applyFont="1" applyFill="1" applyBorder="1" applyAlignment="1">
      <alignment horizontal="center" vertical="center"/>
    </xf>
    <xf numFmtId="165" fontId="14" fillId="11" borderId="73" xfId="3" applyFont="1" applyFill="1" applyBorder="1" applyAlignment="1">
      <alignment horizontal="center" vertical="center"/>
    </xf>
    <xf numFmtId="165" fontId="14" fillId="11" borderId="2" xfId="3" applyFont="1" applyFill="1" applyBorder="1" applyAlignment="1">
      <alignment horizontal="center" vertical="center"/>
    </xf>
    <xf numFmtId="4" fontId="43" fillId="0" borderId="0" xfId="0" applyNumberFormat="1" applyFont="1" applyAlignment="1">
      <alignment horizontal="left" vertical="center"/>
    </xf>
    <xf numFmtId="4" fontId="16" fillId="0" borderId="25" xfId="0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4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0" fontId="14" fillId="5" borderId="40" xfId="0" applyNumberFormat="1" applyFont="1" applyFill="1" applyBorder="1" applyAlignment="1">
      <alignment horizontal="center" vertical="center" wrapText="1"/>
    </xf>
    <xf numFmtId="10" fontId="14" fillId="5" borderId="1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4" fillId="1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9" fontId="17" fillId="0" borderId="21" xfId="2" applyFont="1" applyBorder="1" applyAlignment="1">
      <alignment horizontal="center" vertical="center"/>
    </xf>
    <xf numFmtId="9" fontId="17" fillId="0" borderId="11" xfId="2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10" borderId="15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36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4" fillId="10" borderId="4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6" xfId="0" applyFont="1" applyBorder="1" applyAlignment="1">
      <alignment horizontal="center"/>
    </xf>
    <xf numFmtId="0" fontId="14" fillId="10" borderId="16" xfId="0" applyFont="1" applyFill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distributed"/>
    </xf>
    <xf numFmtId="0" fontId="20" fillId="0" borderId="28" xfId="0" applyFont="1" applyBorder="1" applyAlignment="1">
      <alignment horizontal="center" vertical="distributed"/>
    </xf>
    <xf numFmtId="0" fontId="2" fillId="0" borderId="109" xfId="0" applyFont="1" applyBorder="1" applyAlignment="1">
      <alignment horizontal="center" vertical="distributed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</cellXfs>
  <cellStyles count="8">
    <cellStyle name="Hiperlink" xfId="1" builtinId="8"/>
    <cellStyle name="Moeda" xfId="7" builtinId="4"/>
    <cellStyle name="Moeda 2" xfId="4" xr:uid="{00000000-0005-0000-0000-000001000000}"/>
    <cellStyle name="Normal" xfId="0" builtinId="0"/>
    <cellStyle name="Normal 3" xfId="5" xr:uid="{00000000-0005-0000-0000-000003000000}"/>
    <cellStyle name="Porcentagem" xfId="2" builtinId="5"/>
    <cellStyle name="Separador de milhares 2" xfId="6" xr:uid="{00000000-0005-0000-0000-000005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vates-my.sharepoint.com/Pr&#233;dio%20Administrativo/Engenharia/Dados%20Privados/N&#237;via/001_Obra%20em%20Projeto/Pavimenta&#231;&#245;es/Asf&#225;ltica/Linha%2032/Or&#231;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vates-my.sharepoint.com/personal/jiovani_universo_univates_br/Documents/SETOR%20PRIVADO/OR&#199;AMENTOS/Or&#231;amentos%202022/Encantado_RS/tRANSBORDO_tRIAGEM/Planilha%20-%20405%20T%20-%2015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BDI"/>
      <sheetName val="Memória de Cálculo"/>
      <sheetName val="Projeto"/>
      <sheetName val="CRONOGRAMA"/>
      <sheetName val="MOBILIZAÇÃO E DESMOBILIZAÇÃO"/>
      <sheetName val="COMPOSIÇÃO AUXILIAR CBUQ"/>
    </sheetNames>
    <sheetDataSet>
      <sheetData sheetId="0" refreshError="1">
        <row r="2">
          <cell r="A2" t="str">
            <v>PREFEITURA MUNICIPAL DE ARROIO DO MEIO</v>
          </cell>
        </row>
        <row r="73">
          <cell r="A73" t="str">
            <v>TOTAL GERAL DO ORÇAMENTO: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ronograma"/>
      <sheetName val="1.3.Estação de transbordo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 refreshError="1"/>
      <sheetData sheetId="1" refreshError="1"/>
      <sheetData sheetId="2" refreshError="1"/>
      <sheetData sheetId="3" refreshError="1">
        <row r="34">
          <cell r="C34">
            <v>0.75060000000000004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"/>
  <sheetViews>
    <sheetView view="pageBreakPreview" topLeftCell="A49" zoomScaleNormal="100" zoomScaleSheetLayoutView="100" workbookViewId="0">
      <selection activeCell="E74" sqref="E74"/>
    </sheetView>
  </sheetViews>
  <sheetFormatPr defaultColWidth="9.140625" defaultRowHeight="15.75" x14ac:dyDescent="0.2"/>
  <cols>
    <col min="1" max="1" width="58.42578125" style="98" customWidth="1"/>
    <col min="2" max="2" width="22.7109375" style="98" customWidth="1"/>
    <col min="3" max="3" width="19.28515625" style="98" customWidth="1"/>
    <col min="4" max="4" width="15.7109375" style="130" customWidth="1"/>
    <col min="5" max="5" width="16.140625" style="130" customWidth="1"/>
    <col min="6" max="6" width="13.28515625" style="130" customWidth="1"/>
    <col min="7" max="7" width="28.140625" style="130" customWidth="1"/>
    <col min="8" max="8" width="7.85546875" style="98" customWidth="1"/>
    <col min="9" max="9" width="19" style="98" customWidth="1"/>
    <col min="10" max="10" width="13.42578125" style="98" customWidth="1"/>
    <col min="11" max="11" width="14.5703125" style="98" customWidth="1"/>
    <col min="12" max="16384" width="9.140625" style="98"/>
  </cols>
  <sheetData>
    <row r="1" spans="1:10" x14ac:dyDescent="0.2">
      <c r="A1" s="466" t="s">
        <v>197</v>
      </c>
      <c r="B1" s="466"/>
      <c r="C1" s="466"/>
      <c r="D1" s="466"/>
      <c r="E1" s="466"/>
      <c r="F1" s="466"/>
    </row>
    <row r="2" spans="1:10" ht="15.6" customHeight="1" x14ac:dyDescent="0.2">
      <c r="A2" s="467" t="s">
        <v>347</v>
      </c>
      <c r="B2" s="467"/>
      <c r="C2" s="467"/>
      <c r="D2" s="467"/>
      <c r="E2" s="467"/>
      <c r="F2" s="467"/>
    </row>
    <row r="3" spans="1:10" ht="16.5" customHeight="1" thickBot="1" x14ac:dyDescent="0.25">
      <c r="A3" s="468"/>
      <c r="B3" s="468"/>
      <c r="C3" s="468"/>
      <c r="D3" s="468"/>
      <c r="E3" s="468"/>
      <c r="F3" s="468"/>
    </row>
    <row r="4" spans="1:10" x14ac:dyDescent="0.2">
      <c r="A4" s="469" t="s">
        <v>553</v>
      </c>
      <c r="B4" s="470"/>
      <c r="C4" s="470"/>
      <c r="D4" s="470"/>
      <c r="E4" s="470"/>
      <c r="F4" s="471"/>
    </row>
    <row r="5" spans="1:10" ht="21.75" customHeight="1" x14ac:dyDescent="0.2">
      <c r="A5" s="472" t="s">
        <v>44</v>
      </c>
      <c r="B5" s="473"/>
      <c r="C5" s="473"/>
      <c r="D5" s="473"/>
      <c r="E5" s="473"/>
      <c r="F5" s="474"/>
    </row>
    <row r="6" spans="1:10" ht="10.9" customHeight="1" thickBot="1" x14ac:dyDescent="0.25">
      <c r="A6" s="131"/>
      <c r="B6" s="108"/>
      <c r="C6" s="108"/>
      <c r="D6" s="132"/>
      <c r="E6" s="132"/>
      <c r="F6" s="133"/>
    </row>
    <row r="7" spans="1:10" ht="15.75" customHeight="1" thickBot="1" x14ac:dyDescent="0.25">
      <c r="A7" s="463" t="s">
        <v>196</v>
      </c>
      <c r="B7" s="464"/>
      <c r="C7" s="464"/>
      <c r="D7" s="464"/>
      <c r="E7" s="464"/>
      <c r="F7" s="465"/>
    </row>
    <row r="8" spans="1:10" ht="15.75" customHeight="1" x14ac:dyDescent="0.2">
      <c r="A8" s="134" t="s">
        <v>195</v>
      </c>
      <c r="B8" s="135"/>
      <c r="C8" s="135"/>
      <c r="D8" s="136"/>
      <c r="E8" s="137" t="s">
        <v>39</v>
      </c>
      <c r="F8" s="138" t="s">
        <v>2</v>
      </c>
    </row>
    <row r="9" spans="1:10" s="107" customFormat="1" ht="15.75" customHeight="1" x14ac:dyDescent="0.2">
      <c r="A9" s="427" t="str">
        <f>'1.1.Coletadomiciliarurbana not'!A10</f>
        <v>1. Mão-de-obra</v>
      </c>
      <c r="B9" s="428"/>
      <c r="C9" s="421"/>
      <c r="D9" s="421"/>
      <c r="E9" s="422">
        <f>SUM(E10:E18)</f>
        <v>75820.7156162889</v>
      </c>
      <c r="F9" s="418">
        <f t="shared" ref="F9:F40" si="0">E9/$E$74</f>
        <v>0.29216181120773077</v>
      </c>
      <c r="G9" s="130"/>
      <c r="H9" s="377"/>
      <c r="I9" s="362"/>
      <c r="J9" s="363"/>
    </row>
    <row r="10" spans="1:10" ht="15.75" customHeight="1" x14ac:dyDescent="0.2">
      <c r="A10" s="144" t="str">
        <f>'1.1.Coletadomiciliarurbana not'!A11</f>
        <v>1.1. Coletor Turno Noite</v>
      </c>
      <c r="B10" s="145"/>
      <c r="C10" s="146"/>
      <c r="D10" s="146"/>
      <c r="E10" s="147">
        <f>'1.1.Coletadomiciliarurbana not'!E11</f>
        <v>7396.3151393832986</v>
      </c>
      <c r="F10" s="291">
        <f t="shared" si="0"/>
        <v>2.8500401372117148E-2</v>
      </c>
      <c r="I10" s="246"/>
    </row>
    <row r="11" spans="1:10" ht="15.75" customHeight="1" x14ac:dyDescent="0.2">
      <c r="A11" s="144" t="str">
        <f>'1.2.Coletadomiciliarurbana diur'!A11</f>
        <v>1.2. Coletor Turno Dia</v>
      </c>
      <c r="B11" s="145"/>
      <c r="C11" s="146"/>
      <c r="D11" s="146"/>
      <c r="E11" s="147">
        <f>SUM('1.2.Coletadomiciliarurbana diur'!E11+'1.3.Coletadomiciliarurbana mat'!E11+'1.4.Coletadomiciliarrural matu'!E11)</f>
        <v>22630.956658107407</v>
      </c>
      <c r="F11" s="291">
        <f t="shared" si="0"/>
        <v>8.7204416798934176E-2</v>
      </c>
    </row>
    <row r="12" spans="1:10" ht="15.75" customHeight="1" x14ac:dyDescent="0.2">
      <c r="A12" s="144" t="str">
        <f>'1.1.Coletadomiciliarurbana not'!A12</f>
        <v>1.3. Motorista Turno Noite</v>
      </c>
      <c r="B12" s="145"/>
      <c r="C12" s="146"/>
      <c r="D12" s="146"/>
      <c r="E12" s="147">
        <f>'1.1.Coletadomiciliarurbana not'!E12</f>
        <v>3591.5210085122853</v>
      </c>
      <c r="F12" s="291">
        <f t="shared" si="0"/>
        <v>1.3839295426171608E-2</v>
      </c>
    </row>
    <row r="13" spans="1:10" ht="15.75" customHeight="1" x14ac:dyDescent="0.2">
      <c r="A13" s="144" t="str">
        <f>'1.2.Coletadomiciliarurbana diur'!A12</f>
        <v>1.4. Motorista Turno do Dia</v>
      </c>
      <c r="B13" s="145"/>
      <c r="C13" s="146"/>
      <c r="D13" s="146"/>
      <c r="E13" s="147">
        <f>SUM('1.2.Coletadomiciliarurbana diur'!E12+'1.3.Coletadomiciliarurbana mat'!E12+'1.4.Coletadomiciliarrural matu'!E12+'1.5.Estação de transbordo'!E18+'1.7.Destino final'!E19)</f>
        <v>14454.312555719516</v>
      </c>
      <c r="F13" s="291">
        <f t="shared" si="0"/>
        <v>5.5697154817336128E-2</v>
      </c>
    </row>
    <row r="14" spans="1:10" ht="15.75" customHeight="1" x14ac:dyDescent="0.2">
      <c r="A14" s="144" t="str">
        <f>'1.6.Central Triagem '!A11</f>
        <v>1.5. Reciclador Turno do Dia</v>
      </c>
      <c r="B14" s="145"/>
      <c r="C14" s="146"/>
      <c r="D14" s="146"/>
      <c r="E14" s="147">
        <f>SUM('1.6.Central Triagem '!E11)</f>
        <v>15629.202747200001</v>
      </c>
      <c r="F14" s="291">
        <f t="shared" si="0"/>
        <v>6.0224387823817963E-2</v>
      </c>
    </row>
    <row r="15" spans="1:10" ht="15.75" customHeight="1" x14ac:dyDescent="0.2">
      <c r="A15" s="144" t="str">
        <f>'1.6.Central Triagem '!A12</f>
        <v>1.6. Operador Turno do Dia</v>
      </c>
      <c r="B15" s="145"/>
      <c r="C15" s="146"/>
      <c r="D15" s="146"/>
      <c r="E15" s="147">
        <f>SUM('1.6.Central Triagem '!E12)</f>
        <v>4265.196852</v>
      </c>
      <c r="F15" s="291">
        <f t="shared" si="0"/>
        <v>1.6435186971120074E-2</v>
      </c>
    </row>
    <row r="16" spans="1:10" ht="15.75" customHeight="1" x14ac:dyDescent="0.2">
      <c r="A16" s="144" t="str">
        <f>'1.1.Coletadomiciliarurbana not'!A13</f>
        <v>1.7. Vale Transporte</v>
      </c>
      <c r="B16" s="145"/>
      <c r="C16" s="146"/>
      <c r="D16" s="146"/>
      <c r="E16" s="147">
        <f>'1.1.Coletadomiciliarurbana not'!E13+'1.2.Coletadomiciliarurbana diur'!E13+'1.4.Coletadomiciliarrural matu'!E13+'1.5.Estação de transbordo'!E19+'1.6.Central Triagem '!E13+'1.7.Destino final'!E20+'1.3.Coletadomiciliarurbana mat'!E13</f>
        <v>1285.411733708052</v>
      </c>
      <c r="F16" s="291">
        <f t="shared" si="0"/>
        <v>4.9531083585174331E-3</v>
      </c>
    </row>
    <row r="17" spans="1:10" ht="15.75" customHeight="1" x14ac:dyDescent="0.2">
      <c r="A17" s="144" t="str">
        <f>'1.1.Coletadomiciliarurbana not'!A14</f>
        <v>1.8. Vale-refeição (diário)</v>
      </c>
      <c r="B17" s="145"/>
      <c r="C17" s="146"/>
      <c r="D17" s="146"/>
      <c r="E17" s="147">
        <f>'1.1.Coletadomiciliarurbana not'!E14+'1.2.Coletadomiciliarurbana diur'!E14+'1.4.Coletadomiciliarrural matu'!E14+'1.5.Estação de transbordo'!E20+'1.6.Central Triagem '!E14+'1.7.Destino final'!E21+'1.3.Coletadomiciliarurbana mat'!E14</f>
        <v>6015.6135359999989</v>
      </c>
      <c r="F17" s="291">
        <f t="shared" si="0"/>
        <v>2.3180110236600337E-2</v>
      </c>
    </row>
    <row r="18" spans="1:10" ht="15.75" customHeight="1" x14ac:dyDescent="0.2">
      <c r="A18" s="144" t="str">
        <f>'1.1.Coletadomiciliarurbana not'!A15</f>
        <v>1.9. Auxílio Alimentação (mensal)</v>
      </c>
      <c r="B18" s="145"/>
      <c r="C18" s="146"/>
      <c r="D18" s="146"/>
      <c r="E18" s="147">
        <f>'1.1.Coletadomiciliarurbana not'!E15+'1.2.Coletadomiciliarurbana diur'!E15+'1.4.Coletadomiciliarrural matu'!E15+'1.5.Estação de transbordo'!E21+'1.6.Central Triagem '!E15+'1.7.Destino final'!E22+'1.3.Coletadomiciliarurbana mat'!E15</f>
        <v>552.18538565833171</v>
      </c>
      <c r="F18" s="291">
        <f t="shared" si="0"/>
        <v>2.1277494031158792E-3</v>
      </c>
    </row>
    <row r="19" spans="1:10" s="107" customFormat="1" ht="15.75" customHeight="1" x14ac:dyDescent="0.2">
      <c r="A19" s="458" t="str">
        <f>'1.1.Coletadomiciliarurbana not'!A16:C16</f>
        <v>2. Uniformes e Equipamentos de Proteção Individual</v>
      </c>
      <c r="B19" s="459"/>
      <c r="C19" s="459"/>
      <c r="D19" s="421"/>
      <c r="E19" s="422">
        <f>'1.1.Coletadomiciliarurbana not'!E16+'1.2.Coletadomiciliarurbana diur'!E16+'1.3.Coletadomiciliarurbana mat'!E16+'1.4.Coletadomiciliarrural matu'!E16+'1.5.Estação de transbordo'!E22+'1.6.Central Triagem '!E16+'1.7.Destino final'!E23</f>
        <v>3520.9834991460521</v>
      </c>
      <c r="F19" s="418">
        <f t="shared" si="0"/>
        <v>1.3567491522357046E-2</v>
      </c>
      <c r="G19" s="130"/>
      <c r="H19" s="377"/>
      <c r="I19" s="362"/>
      <c r="J19" s="363"/>
    </row>
    <row r="20" spans="1:10" s="107" customFormat="1" ht="15.75" customHeight="1" x14ac:dyDescent="0.2">
      <c r="A20" s="458" t="str">
        <f>'1.1.Coletadomiciliarurbana not'!A17:C17</f>
        <v>3. Veículos e Equipamentos</v>
      </c>
      <c r="B20" s="459"/>
      <c r="C20" s="459"/>
      <c r="D20" s="421"/>
      <c r="E20" s="422">
        <f>E21+E28+E35+E42+E49+E56+E63</f>
        <v>113927.00771292925</v>
      </c>
      <c r="F20" s="418">
        <f t="shared" si="0"/>
        <v>0.43899771518030534</v>
      </c>
      <c r="G20" s="130"/>
      <c r="H20" s="377"/>
      <c r="I20" s="362"/>
      <c r="J20" s="363"/>
    </row>
    <row r="21" spans="1:10" ht="15.75" customHeight="1" x14ac:dyDescent="0.2">
      <c r="A21" s="419" t="str">
        <f>'1.1.Coletadomiciliarurbana not'!A18</f>
        <v>3.1. Veículo Coletor Compactador 15 m³ (mínimo)</v>
      </c>
      <c r="B21" s="420"/>
      <c r="C21" s="421"/>
      <c r="D21" s="421"/>
      <c r="E21" s="422">
        <f>SUM(E22:E27)</f>
        <v>17635.354484996431</v>
      </c>
      <c r="F21" s="418">
        <f t="shared" si="0"/>
        <v>6.7954741204263008E-2</v>
      </c>
    </row>
    <row r="22" spans="1:10" ht="15.75" customHeight="1" x14ac:dyDescent="0.2">
      <c r="A22" s="151" t="str">
        <f>'1.1.Coletadomiciliarurbana not'!A19</f>
        <v>3.1.1. Depreciação</v>
      </c>
      <c r="B22" s="152"/>
      <c r="C22" s="146"/>
      <c r="D22" s="146"/>
      <c r="E22" s="147">
        <f>'1.1.Coletadomiciliarurbana not'!E19</f>
        <v>4563.6998971205967</v>
      </c>
      <c r="F22" s="291">
        <f t="shared" si="0"/>
        <v>1.7585416029294785E-2</v>
      </c>
    </row>
    <row r="23" spans="1:10" ht="15.75" customHeight="1" x14ac:dyDescent="0.2">
      <c r="A23" s="151" t="str">
        <f>'1.1.Coletadomiciliarurbana not'!A20</f>
        <v>3.1.2. Remuneração do Capital</v>
      </c>
      <c r="B23" s="152"/>
      <c r="C23" s="146"/>
      <c r="D23" s="146"/>
      <c r="E23" s="147">
        <f>'1.1.Coletadomiciliarurbana not'!E20</f>
        <v>2807.1666680500857</v>
      </c>
      <c r="F23" s="291">
        <f t="shared" si="0"/>
        <v>1.0816923731636318E-2</v>
      </c>
    </row>
    <row r="24" spans="1:10" ht="15.75" customHeight="1" x14ac:dyDescent="0.2">
      <c r="A24" s="151" t="str">
        <f>'1.1.Coletadomiciliarurbana not'!A21</f>
        <v>3.1.3. Impostos e Seguros</v>
      </c>
      <c r="B24" s="152"/>
      <c r="C24" s="146"/>
      <c r="D24" s="146"/>
      <c r="E24" s="147">
        <f>'1.1.Coletadomiciliarurbana not'!E21</f>
        <v>533.93645607126859</v>
      </c>
      <c r="F24" s="291">
        <f t="shared" si="0"/>
        <v>2.0574303580182187E-3</v>
      </c>
    </row>
    <row r="25" spans="1:10" ht="15.75" customHeight="1" x14ac:dyDescent="0.2">
      <c r="A25" s="151" t="str">
        <f>'1.1.Coletadomiciliarurbana not'!A22</f>
        <v>3.1.4. Consumos</v>
      </c>
      <c r="B25" s="152"/>
      <c r="C25" s="146"/>
      <c r="D25" s="146"/>
      <c r="E25" s="147">
        <f>'1.1.Coletadomiciliarurbana not'!E22</f>
        <v>7667.3954082554301</v>
      </c>
      <c r="F25" s="291">
        <f t="shared" si="0"/>
        <v>2.9544961578290483E-2</v>
      </c>
    </row>
    <row r="26" spans="1:10" ht="15.75" customHeight="1" x14ac:dyDescent="0.2">
      <c r="A26" s="151" t="str">
        <f>'1.1.Coletadomiciliarurbana not'!A23</f>
        <v>3.1.5. Manutenção</v>
      </c>
      <c r="B26" s="152"/>
      <c r="C26" s="146"/>
      <c r="D26" s="146"/>
      <c r="E26" s="147">
        <f>'1.1.Coletadomiciliarurbana not'!E23</f>
        <v>1474.672</v>
      </c>
      <c r="F26" s="291">
        <f t="shared" si="0"/>
        <v>5.6823895548246042E-3</v>
      </c>
    </row>
    <row r="27" spans="1:10" ht="15.75" customHeight="1" x14ac:dyDescent="0.2">
      <c r="A27" s="151" t="str">
        <f>'1.1.Coletadomiciliarurbana not'!A24</f>
        <v>3.1.6. Pneus</v>
      </c>
      <c r="B27" s="152"/>
      <c r="C27" s="146"/>
      <c r="D27" s="146"/>
      <c r="E27" s="147">
        <f>'1.1.Coletadomiciliarurbana not'!E24</f>
        <v>588.48405549905021</v>
      </c>
      <c r="F27" s="291">
        <f t="shared" si="0"/>
        <v>2.267619952198608E-3</v>
      </c>
    </row>
    <row r="28" spans="1:10" ht="15.75" customHeight="1" x14ac:dyDescent="0.2">
      <c r="A28" s="419" t="str">
        <f>'1.2.Coletadomiciliarurbana diur'!A18</f>
        <v>3.2. Veículo Coletor Compactador 15 m³ (mínimo)</v>
      </c>
      <c r="B28" s="420"/>
      <c r="C28" s="421"/>
      <c r="D28" s="421"/>
      <c r="E28" s="422">
        <f>SUM(E29:E34)</f>
        <v>19857.791319220909</v>
      </c>
      <c r="F28" s="418">
        <f t="shared" si="0"/>
        <v>7.6518511217564034E-2</v>
      </c>
    </row>
    <row r="29" spans="1:10" ht="15.75" customHeight="1" x14ac:dyDescent="0.2">
      <c r="A29" s="151" t="str">
        <f>'1.2.Coletadomiciliarurbana diur'!A19</f>
        <v>3.2.1. Depreciação</v>
      </c>
      <c r="B29" s="152"/>
      <c r="C29" s="146"/>
      <c r="D29" s="146"/>
      <c r="E29" s="147">
        <f>'1.2.Coletadomiciliarurbana diur'!E19</f>
        <v>5578.4132711411767</v>
      </c>
      <c r="F29" s="291">
        <f t="shared" si="0"/>
        <v>2.1495435801607118E-2</v>
      </c>
    </row>
    <row r="30" spans="1:10" ht="15.75" customHeight="1" x14ac:dyDescent="0.2">
      <c r="A30" s="151" t="str">
        <f>'1.2.Coletadomiciliarurbana diur'!A20</f>
        <v>3.2.2. Remuneração do Capital</v>
      </c>
      <c r="B30" s="152"/>
      <c r="C30" s="146"/>
      <c r="D30" s="146"/>
      <c r="E30" s="147">
        <f>'1.2.Coletadomiciliarurbana diur'!E20</f>
        <v>3431.3246156338896</v>
      </c>
      <c r="F30" s="291">
        <f t="shared" si="0"/>
        <v>1.3222006761564986E-2</v>
      </c>
    </row>
    <row r="31" spans="1:10" ht="15.75" customHeight="1" x14ac:dyDescent="0.2">
      <c r="A31" s="151" t="str">
        <f>'1.2.Coletadomiciliarurbana diur'!A21</f>
        <v>3.2.3. Impostos e Seguros</v>
      </c>
      <c r="B31" s="152"/>
      <c r="C31" s="146"/>
      <c r="D31" s="146"/>
      <c r="E31" s="147">
        <f>'1.2.Coletadomiciliarurbana diur'!E21</f>
        <v>652.654267291613</v>
      </c>
      <c r="F31" s="291">
        <f t="shared" si="0"/>
        <v>2.5148885931037999E-3</v>
      </c>
    </row>
    <row r="32" spans="1:10" ht="15.75" customHeight="1" x14ac:dyDescent="0.2">
      <c r="A32" s="151" t="str">
        <f>'1.2.Coletadomiciliarurbana diur'!A22</f>
        <v>3.2.4. Consumos</v>
      </c>
      <c r="B32" s="152"/>
      <c r="C32" s="146"/>
      <c r="D32" s="146"/>
      <c r="E32" s="147">
        <f>'1.2.Coletadomiciliarurbana diur'!E22</f>
        <v>8033.6820616405748</v>
      </c>
      <c r="F32" s="291">
        <f t="shared" si="0"/>
        <v>3.0956382866053053E-2</v>
      </c>
    </row>
    <row r="33" spans="1:7" ht="15.75" customHeight="1" x14ac:dyDescent="0.2">
      <c r="A33" s="151" t="str">
        <f>'1.2.Coletadomiciliarurbana diur'!A23</f>
        <v>3.2.5. Manutenção</v>
      </c>
      <c r="B33" s="152"/>
      <c r="C33" s="146"/>
      <c r="D33" s="146"/>
      <c r="E33" s="147">
        <f>'1.2.Coletadomiciliarurbana diur'!E23</f>
        <v>1545.12</v>
      </c>
      <c r="F33" s="291">
        <f t="shared" si="0"/>
        <v>5.9538485500169472E-3</v>
      </c>
    </row>
    <row r="34" spans="1:7" ht="15.75" customHeight="1" x14ac:dyDescent="0.2">
      <c r="A34" s="151" t="str">
        <f>'1.2.Coletadomiciliarurbana diur'!A24</f>
        <v>3.2.6. Pneus</v>
      </c>
      <c r="B34" s="152"/>
      <c r="C34" s="146"/>
      <c r="D34" s="146"/>
      <c r="E34" s="147">
        <f>'1.2.Coletadomiciliarurbana diur'!E24</f>
        <v>616.59710351365766</v>
      </c>
      <c r="F34" s="291">
        <f t="shared" si="0"/>
        <v>2.3759486452181321E-3</v>
      </c>
    </row>
    <row r="35" spans="1:7" ht="15.75" customHeight="1" x14ac:dyDescent="0.2">
      <c r="A35" s="419" t="str">
        <f>'1.3.Coletadomiciliarurbana mat'!A18</f>
        <v>3.3.1. Veículo Coletor Compactador 15 m³ (mínimo)</v>
      </c>
      <c r="B35" s="420"/>
      <c r="C35" s="421"/>
      <c r="D35" s="421"/>
      <c r="E35" s="422">
        <f>SUM(E36:E41)</f>
        <v>14996.897966509006</v>
      </c>
      <c r="F35" s="418">
        <f t="shared" si="0"/>
        <v>5.7787912403341975E-2</v>
      </c>
    </row>
    <row r="36" spans="1:7" ht="15.75" customHeight="1" x14ac:dyDescent="0.2">
      <c r="A36" s="151" t="str">
        <f>'1.3.Coletadomiciliarurbana mat'!A19</f>
        <v>3.3.1. Depreciação</v>
      </c>
      <c r="B36" s="152"/>
      <c r="C36" s="146"/>
      <c r="D36" s="146"/>
      <c r="E36" s="147">
        <f>SUM('1.3.Coletadomiciliarurbana mat'!E19)</f>
        <v>4056.6221307738633</v>
      </c>
      <c r="F36" s="291">
        <f t="shared" si="0"/>
        <v>1.5631480914928695E-2</v>
      </c>
    </row>
    <row r="37" spans="1:7" ht="15.75" customHeight="1" x14ac:dyDescent="0.2">
      <c r="A37" s="151" t="str">
        <f>'1.3.Coletadomiciliarurbana mat'!A20</f>
        <v>3.3.2. Remuneração do Capital</v>
      </c>
      <c r="B37" s="152"/>
      <c r="C37" s="146"/>
      <c r="D37" s="146"/>
      <c r="E37" s="147">
        <f>SUM('1.3.Coletadomiciliarurbana mat'!E20)</f>
        <v>2879.6767186131265</v>
      </c>
      <c r="F37" s="291">
        <f t="shared" si="0"/>
        <v>1.1096328476514655E-2</v>
      </c>
    </row>
    <row r="38" spans="1:7" ht="15.75" customHeight="1" x14ac:dyDescent="0.2">
      <c r="A38" s="151" t="str">
        <f>'1.3.Coletadomiciliarurbana mat'!A21</f>
        <v>3.3.3. Impostos e Seguros</v>
      </c>
      <c r="B38" s="152"/>
      <c r="C38" s="146"/>
      <c r="D38" s="146"/>
      <c r="E38" s="147">
        <f>SUM('1.3.Coletadomiciliarurbana mat'!E21)</f>
        <v>474.61018317446076</v>
      </c>
      <c r="F38" s="291">
        <f t="shared" si="0"/>
        <v>1.8288269849050824E-3</v>
      </c>
    </row>
    <row r="39" spans="1:7" ht="15.75" customHeight="1" x14ac:dyDescent="0.2">
      <c r="A39" s="151" t="str">
        <f>'1.3.Coletadomiciliarurbana mat'!A22</f>
        <v>3.3.4. Consumos</v>
      </c>
      <c r="B39" s="152"/>
      <c r="C39" s="146"/>
      <c r="D39" s="146"/>
      <c r="E39" s="147">
        <f>SUM('1.3.Coletadomiciliarurbana mat'!E22)</f>
        <v>5977.5519401172396</v>
      </c>
      <c r="F39" s="291">
        <f t="shared" si="0"/>
        <v>2.3033446561637944E-2</v>
      </c>
    </row>
    <row r="40" spans="1:7" ht="15.75" customHeight="1" x14ac:dyDescent="0.2">
      <c r="A40" s="151" t="str">
        <f>'1.3.Coletadomiciliarurbana mat'!A23</f>
        <v>3.3.5 Manutenção</v>
      </c>
      <c r="B40" s="152"/>
      <c r="C40" s="146"/>
      <c r="D40" s="146"/>
      <c r="E40" s="147">
        <f>SUM('1.3.Coletadomiciliarurbana mat'!E23)</f>
        <v>1149.664</v>
      </c>
      <c r="F40" s="291">
        <f t="shared" si="0"/>
        <v>4.4300283080969012E-3</v>
      </c>
    </row>
    <row r="41" spans="1:7" ht="15.75" customHeight="1" x14ac:dyDescent="0.2">
      <c r="A41" s="151" t="str">
        <f>'1.3.Coletadomiciliarurbana mat'!A24</f>
        <v>3.3.6 Pneus</v>
      </c>
      <c r="B41" s="152"/>
      <c r="C41" s="146"/>
      <c r="D41" s="146"/>
      <c r="E41" s="147">
        <f>SUM('1.3.Coletadomiciliarurbana mat'!E24)</f>
        <v>458.77299383031533</v>
      </c>
      <c r="F41" s="291">
        <f t="shared" ref="F41:F58" si="1">E41/$E$74</f>
        <v>1.7678011572586964E-3</v>
      </c>
    </row>
    <row r="42" spans="1:7" s="107" customFormat="1" ht="15.75" customHeight="1" x14ac:dyDescent="0.2">
      <c r="A42" s="419" t="str">
        <f>'1.4.Coletadomiciliarrural matu'!A18</f>
        <v>3.4. Veículo Coletor Compactador 15 m³ (mínimo)</v>
      </c>
      <c r="B42" s="420"/>
      <c r="C42" s="421"/>
      <c r="D42" s="421"/>
      <c r="E42" s="422">
        <f>SUM(E43:E48)</f>
        <v>11910.099298210749</v>
      </c>
      <c r="F42" s="418">
        <f t="shared" si="1"/>
        <v>4.5893475870618421E-2</v>
      </c>
      <c r="G42" s="129"/>
    </row>
    <row r="43" spans="1:7" ht="15.75" customHeight="1" x14ac:dyDescent="0.2">
      <c r="A43" s="151" t="str">
        <f>'1.4.Coletadomiciliarrural matu'!A19</f>
        <v>3.4.1. Depreciação</v>
      </c>
      <c r="B43" s="152"/>
      <c r="C43" s="146"/>
      <c r="D43" s="146"/>
      <c r="E43" s="147">
        <f>'1.4.Coletadomiciliarrural matu'!E19</f>
        <v>2865.7939285749621</v>
      </c>
      <c r="F43" s="291">
        <f t="shared" si="1"/>
        <v>1.1042833583342012E-2</v>
      </c>
    </row>
    <row r="44" spans="1:7" ht="15.75" customHeight="1" x14ac:dyDescent="0.2">
      <c r="A44" s="151" t="str">
        <f>'1.4.Coletadomiciliarrural matu'!A20</f>
        <v>3.4.2. Remuneração do Capital</v>
      </c>
      <c r="B44" s="152"/>
      <c r="C44" s="146"/>
      <c r="D44" s="146"/>
      <c r="E44" s="147">
        <f>'1.4.Coletadomiciliarrural matu'!E20</f>
        <v>2034.342807986867</v>
      </c>
      <c r="F44" s="291">
        <f t="shared" si="1"/>
        <v>7.8389827182160695E-3</v>
      </c>
    </row>
    <row r="45" spans="1:7" ht="15.75" customHeight="1" x14ac:dyDescent="0.2">
      <c r="A45" s="151" t="str">
        <f>'1.4.Coletadomiciliarrural matu'!A21</f>
        <v>3.2.3. Impostos e Seguros</v>
      </c>
      <c r="B45" s="152"/>
      <c r="C45" s="146"/>
      <c r="D45" s="146"/>
      <c r="E45" s="147">
        <f>'1.4.Coletadomiciliarrural matu'!E21</f>
        <v>202.29921734557169</v>
      </c>
      <c r="F45" s="291">
        <f t="shared" si="1"/>
        <v>7.79524504156632E-4</v>
      </c>
    </row>
    <row r="46" spans="1:7" ht="15.75" customHeight="1" x14ac:dyDescent="0.2">
      <c r="A46" s="151" t="str">
        <f>'1.4.Coletadomiciliarrural matu'!A22</f>
        <v>3.4.4. Consumos</v>
      </c>
      <c r="B46" s="152"/>
      <c r="C46" s="146"/>
      <c r="D46" s="146"/>
      <c r="E46" s="147">
        <f>'1.4.Coletadomiciliarrural matu'!E22</f>
        <v>5364.2526486299284</v>
      </c>
      <c r="F46" s="291">
        <f t="shared" si="1"/>
        <v>2.0670205455867421E-2</v>
      </c>
    </row>
    <row r="47" spans="1:7" ht="15.75" customHeight="1" x14ac:dyDescent="0.2">
      <c r="A47" s="151" t="str">
        <f>'1.4.Coletadomiciliarrural matu'!A23</f>
        <v>3.4.5. Manutenção</v>
      </c>
      <c r="B47" s="152"/>
      <c r="C47" s="146"/>
      <c r="D47" s="146"/>
      <c r="E47" s="147">
        <f>'1.4.Coletadomiciliarrural matu'!E23</f>
        <v>1031.7080000000001</v>
      </c>
      <c r="F47" s="291">
        <f t="shared" si="1"/>
        <v>3.9755055787517382E-3</v>
      </c>
    </row>
    <row r="48" spans="1:7" ht="15.75" customHeight="1" x14ac:dyDescent="0.2">
      <c r="A48" s="151" t="str">
        <f>'1.4.Coletadomiciliarrural matu'!A24</f>
        <v>3.4.6. Pneus</v>
      </c>
      <c r="B48" s="152"/>
      <c r="C48" s="146"/>
      <c r="D48" s="146"/>
      <c r="E48" s="147">
        <f>'1.4.Coletadomiciliarrural matu'!E24</f>
        <v>411.70269567342024</v>
      </c>
      <c r="F48" s="291">
        <f t="shared" si="1"/>
        <v>1.5864240302845484E-3</v>
      </c>
    </row>
    <row r="49" spans="1:6" ht="15.75" customHeight="1" x14ac:dyDescent="0.2">
      <c r="A49" s="419" t="str">
        <f>'1.5.Estação de transbordo'!A24</f>
        <v>3.5. Estacão de transbordo com capacidade mínima de 11,333 ton/dia.</v>
      </c>
      <c r="B49" s="420"/>
      <c r="C49" s="421"/>
      <c r="D49" s="421"/>
      <c r="E49" s="422">
        <f>SUM(E50:E55)</f>
        <v>10374.474156989001</v>
      </c>
      <c r="F49" s="418">
        <f t="shared" si="1"/>
        <v>3.9976214091317991E-2</v>
      </c>
    </row>
    <row r="50" spans="1:6" ht="15.75" customHeight="1" x14ac:dyDescent="0.2">
      <c r="A50" s="151" t="str">
        <f>'1.5.Estação de transbordo'!A25</f>
        <v>3.5.1. Depreciação</v>
      </c>
      <c r="B50" s="152"/>
      <c r="C50" s="146"/>
      <c r="D50" s="146"/>
      <c r="E50" s="147">
        <f>'1.5.Estação de transbordo'!E25</f>
        <v>1798.9001283600001</v>
      </c>
      <c r="F50" s="291">
        <f t="shared" si="1"/>
        <v>6.9317457031567043E-3</v>
      </c>
    </row>
    <row r="51" spans="1:6" ht="15.75" customHeight="1" x14ac:dyDescent="0.2">
      <c r="A51" s="151" t="str">
        <f>'1.5.Estação de transbordo'!A26</f>
        <v>3.5.2. Remuneração do Capital</v>
      </c>
      <c r="B51" s="152"/>
      <c r="C51" s="146"/>
      <c r="D51" s="146"/>
      <c r="E51" s="147">
        <f>'1.5.Estação de transbordo'!E26</f>
        <v>1276.9862836004997</v>
      </c>
      <c r="F51" s="291">
        <f t="shared" si="1"/>
        <v>4.9206423662928227E-3</v>
      </c>
    </row>
    <row r="52" spans="1:6" ht="15.75" customHeight="1" x14ac:dyDescent="0.2">
      <c r="A52" s="151" t="str">
        <f>'1.5.Estação de transbordo'!A27</f>
        <v>3.5.3. Impostos e Seguros</v>
      </c>
      <c r="B52" s="152"/>
      <c r="C52" s="146"/>
      <c r="D52" s="146"/>
      <c r="E52" s="147">
        <f>'1.5.Estação de transbordo'!E27</f>
        <v>108.94709266077544</v>
      </c>
      <c r="F52" s="291">
        <f t="shared" si="1"/>
        <v>4.1980848715110789E-4</v>
      </c>
    </row>
    <row r="53" spans="1:6" ht="15.75" customHeight="1" x14ac:dyDescent="0.2">
      <c r="A53" s="151" t="str">
        <f>'1.5.Estação de transbordo'!A28</f>
        <v>3.5.4. Consumos</v>
      </c>
      <c r="B53" s="152"/>
      <c r="C53" s="146"/>
      <c r="D53" s="146"/>
      <c r="E53" s="147">
        <f>'1.5.Estação de transbordo'!E28</f>
        <v>6828.8688000000011</v>
      </c>
      <c r="F53" s="291">
        <f t="shared" si="1"/>
        <v>2.6313846564108921E-2</v>
      </c>
    </row>
    <row r="54" spans="1:6" ht="15.75" customHeight="1" x14ac:dyDescent="0.2">
      <c r="A54" s="151" t="str">
        <f>'1.5.Estação de transbordo'!A29</f>
        <v>3.5.5. Manutenção</v>
      </c>
      <c r="B54" s="152"/>
      <c r="C54" s="146"/>
      <c r="D54" s="146"/>
      <c r="E54" s="147">
        <f>'1.5.Estação de transbordo'!E29</f>
        <v>175.68</v>
      </c>
      <c r="F54" s="291">
        <f t="shared" si="1"/>
        <v>6.769520252582177E-4</v>
      </c>
    </row>
    <row r="55" spans="1:6" ht="15.75" customHeight="1" x14ac:dyDescent="0.2">
      <c r="A55" s="151" t="str">
        <f>'1.5.Estação de transbordo'!A30</f>
        <v>3.5.6. Pneus</v>
      </c>
      <c r="B55" s="152"/>
      <c r="C55" s="146"/>
      <c r="D55" s="146"/>
      <c r="E55" s="147">
        <f>'1.5.Estação de transbordo'!E30</f>
        <v>185.09185236772419</v>
      </c>
      <c r="F55" s="291">
        <f t="shared" si="1"/>
        <v>7.1321894535021581E-4</v>
      </c>
    </row>
    <row r="56" spans="1:6" ht="15.75" customHeight="1" x14ac:dyDescent="0.2">
      <c r="A56" s="419" t="str">
        <f>'1.6.Central Triagem '!A18</f>
        <v>3.6. Central de Triagem com capacidade mínima de 11,333 ton/dia.</v>
      </c>
      <c r="B56" s="420"/>
      <c r="C56" s="421"/>
      <c r="D56" s="421"/>
      <c r="E56" s="422">
        <f>SUM(E57:E62)</f>
        <v>4773.5074212499994</v>
      </c>
      <c r="F56" s="418">
        <f t="shared" si="1"/>
        <v>1.8393872474956278E-2</v>
      </c>
    </row>
    <row r="57" spans="1:6" ht="15.75" customHeight="1" x14ac:dyDescent="0.2">
      <c r="A57" s="151" t="str">
        <f>'1.6.Central Triagem '!A19</f>
        <v>3.6.1. Depreciação</v>
      </c>
      <c r="B57" s="152"/>
      <c r="C57" s="146"/>
      <c r="D57" s="146"/>
      <c r="E57" s="147">
        <f>'1.6.Central Triagem '!E19</f>
        <v>1196.7048</v>
      </c>
      <c r="F57" s="291">
        <f t="shared" si="1"/>
        <v>4.6112917691042256E-3</v>
      </c>
    </row>
    <row r="58" spans="1:6" ht="15.75" customHeight="1" x14ac:dyDescent="0.2">
      <c r="A58" s="151" t="str">
        <f>'1.6.Central Triagem '!A20</f>
        <v>3.6.2. Remuneração do Capital</v>
      </c>
      <c r="B58" s="152"/>
      <c r="C58" s="146"/>
      <c r="D58" s="146"/>
      <c r="E58" s="147">
        <f>'1.6.Central Triagem '!E20</f>
        <v>1180.6139812500001</v>
      </c>
      <c r="F58" s="291">
        <f t="shared" si="1"/>
        <v>4.5492886250874031E-3</v>
      </c>
    </row>
    <row r="59" spans="1:6" ht="15.75" customHeight="1" x14ac:dyDescent="0.2">
      <c r="A59" s="151" t="str">
        <f>'1.6.Central Triagem '!A21</f>
        <v>3.6.3. Impostos e Seguros</v>
      </c>
      <c r="B59" s="152"/>
      <c r="C59" s="146"/>
      <c r="D59" s="146"/>
      <c r="E59" s="147">
        <f>'1.6.Central Triagem '!E21</f>
        <v>50</v>
      </c>
      <c r="F59" s="291">
        <f t="shared" ref="F59:F62" si="2">E59/$E$74</f>
        <v>1.9266621848196085E-4</v>
      </c>
    </row>
    <row r="60" spans="1:6" ht="15.75" customHeight="1" x14ac:dyDescent="0.2">
      <c r="A60" s="151" t="str">
        <f>'1.6.Central Triagem '!A22</f>
        <v>3.6.4. Consumos</v>
      </c>
      <c r="B60" s="152"/>
      <c r="C60" s="146"/>
      <c r="D60" s="146"/>
      <c r="E60" s="147">
        <f>'1.6.Central Triagem '!E22</f>
        <v>2265.2975999999999</v>
      </c>
      <c r="F60" s="291">
        <f t="shared" si="2"/>
        <v>8.7289264465652307E-3</v>
      </c>
    </row>
    <row r="61" spans="1:6" ht="15.75" customHeight="1" x14ac:dyDescent="0.2">
      <c r="A61" s="151" t="str">
        <f>'1.6.Central Triagem '!A23</f>
        <v>3.6.5. Manutenção</v>
      </c>
      <c r="B61" s="152"/>
      <c r="C61" s="146"/>
      <c r="D61" s="146"/>
      <c r="E61" s="147">
        <f>'1.6.Central Triagem '!E23</f>
        <v>58.571039999999996</v>
      </c>
      <c r="F61" s="291">
        <f t="shared" si="2"/>
        <v>2.2569321578711337E-4</v>
      </c>
    </row>
    <row r="62" spans="1:6" ht="15.75" customHeight="1" x14ac:dyDescent="0.2">
      <c r="A62" s="151" t="str">
        <f>'1.6.Central Triagem '!A24</f>
        <v>3.6.6. Pneus</v>
      </c>
      <c r="B62" s="152"/>
      <c r="C62" s="146"/>
      <c r="D62" s="146"/>
      <c r="E62" s="147">
        <f>'1.6.Central Triagem '!E24</f>
        <v>22.32</v>
      </c>
      <c r="F62" s="291">
        <f t="shared" si="2"/>
        <v>8.6006199930347332E-5</v>
      </c>
    </row>
    <row r="63" spans="1:6" ht="15.75" customHeight="1" x14ac:dyDescent="0.2">
      <c r="A63" s="419" t="str">
        <f>'1.7.Destino final'!A25</f>
        <v xml:space="preserve">3.7. Conjunto com carreta tipo "roll -on"  e containers para destino final </v>
      </c>
      <c r="B63" s="420"/>
      <c r="C63" s="421"/>
      <c r="D63" s="421"/>
      <c r="E63" s="422">
        <f>SUM(E64:E69)</f>
        <v>34378.883065753158</v>
      </c>
      <c r="F63" s="418">
        <f t="shared" ref="F63:F74" si="3">E63/$E$74</f>
        <v>0.13247298791824363</v>
      </c>
    </row>
    <row r="64" spans="1:6" ht="15.75" customHeight="1" x14ac:dyDescent="0.2">
      <c r="A64" s="151" t="str">
        <f>'1.7.Destino final'!A26</f>
        <v>3.7.1. Depreciação</v>
      </c>
      <c r="B64" s="152"/>
      <c r="C64" s="146"/>
      <c r="D64" s="146"/>
      <c r="E64" s="147">
        <f>'1.7.Destino final'!E26</f>
        <v>8035.9595194032008</v>
      </c>
      <c r="F64" s="291">
        <f t="shared" si="3"/>
        <v>3.0965158649550607E-2</v>
      </c>
    </row>
    <row r="65" spans="1:11" ht="15.75" customHeight="1" x14ac:dyDescent="0.2">
      <c r="A65" s="151" t="str">
        <f>'1.7.Destino final'!A27</f>
        <v>3.7.2. Remuneração do Capital</v>
      </c>
      <c r="B65" s="152"/>
      <c r="C65" s="146"/>
      <c r="D65" s="146"/>
      <c r="E65" s="147">
        <f>'1.7.Destino final'!E27</f>
        <v>5196.492410125501</v>
      </c>
      <c r="F65" s="291">
        <f t="shared" si="3"/>
        <v>2.0023770840581823E-2</v>
      </c>
    </row>
    <row r="66" spans="1:11" ht="15.75" customHeight="1" x14ac:dyDescent="0.2">
      <c r="A66" s="151" t="str">
        <f>'1.7.Destino final'!A28</f>
        <v>3.7.3. Impostos e Seguros</v>
      </c>
      <c r="B66" s="152"/>
      <c r="C66" s="146"/>
      <c r="D66" s="146"/>
      <c r="E66" s="147">
        <f>'1.7.Destino final'!E28</f>
        <v>885.44343041256195</v>
      </c>
      <c r="F66" s="291">
        <f t="shared" si="3"/>
        <v>3.4119007483456713E-3</v>
      </c>
    </row>
    <row r="67" spans="1:11" ht="15.75" customHeight="1" x14ac:dyDescent="0.2">
      <c r="A67" s="151" t="str">
        <f>'1.7.Destino final'!A29</f>
        <v>3.7.4. Consumos</v>
      </c>
      <c r="B67" s="152"/>
      <c r="C67" s="146"/>
      <c r="D67" s="146"/>
      <c r="E67" s="147">
        <f>'1.7.Destino final'!E29</f>
        <v>14136.532038980349</v>
      </c>
      <c r="F67" s="291">
        <f t="shared" si="3"/>
        <v>5.4472643407988554E-2</v>
      </c>
    </row>
    <row r="68" spans="1:11" ht="15.75" customHeight="1" x14ac:dyDescent="0.2">
      <c r="A68" s="151" t="str">
        <f>'1.7.Destino final'!A30</f>
        <v>3.7.5. Manutenção</v>
      </c>
      <c r="B68" s="152"/>
      <c r="C68" s="146"/>
      <c r="D68" s="146"/>
      <c r="E68" s="147">
        <f>'1.7.Destino final'!E30</f>
        <v>2486.4</v>
      </c>
      <c r="F68" s="291">
        <f t="shared" si="3"/>
        <v>9.5809057126709507E-3</v>
      </c>
    </row>
    <row r="69" spans="1:11" ht="15.75" customHeight="1" x14ac:dyDescent="0.2">
      <c r="A69" s="151" t="str">
        <f>'1.7.Destino final'!A31</f>
        <v>3.7.6. Pneus</v>
      </c>
      <c r="B69" s="152"/>
      <c r="C69" s="146"/>
      <c r="D69" s="146"/>
      <c r="E69" s="147">
        <f>'1.7.Destino final'!E31</f>
        <v>3638.0556668315426</v>
      </c>
      <c r="F69" s="291">
        <f t="shared" si="3"/>
        <v>1.4018608559106036E-2</v>
      </c>
    </row>
    <row r="70" spans="1:11" ht="15.75" customHeight="1" x14ac:dyDescent="0.2">
      <c r="A70" s="419" t="str">
        <f>'1.1.Coletadomiciliarurbana not'!A25</f>
        <v>4. Ferramentas e Materiais de Consumo</v>
      </c>
      <c r="B70" s="420"/>
      <c r="C70" s="421"/>
      <c r="D70" s="421"/>
      <c r="E70" s="422">
        <f>SUM('1.1.Coletadomiciliarurbana not'!E25,'1.2.Coletadomiciliarurbana diur'!E25,'1.3.Coletadomiciliarurbana mat'!E25,'1.4.Coletadomiciliarrural matu'!E25,'1.5.Estação de transbordo'!E31,'1.6.Central Triagem '!E25,'1.7.Destino final'!E32)</f>
        <v>285.54825000582679</v>
      </c>
      <c r="F70" s="418">
        <f t="shared" si="3"/>
        <v>1.1003100304552841E-3</v>
      </c>
      <c r="G70" s="366"/>
      <c r="H70" s="377"/>
      <c r="I70" s="362"/>
      <c r="J70" s="363"/>
      <c r="K70" s="107"/>
    </row>
    <row r="71" spans="1:11" ht="15.75" customHeight="1" x14ac:dyDescent="0.2">
      <c r="A71" s="419" t="str">
        <f>'1.1.Coletadomiciliarurbana not'!A26</f>
        <v>5. Monitoramento da Frota</v>
      </c>
      <c r="B71" s="420"/>
      <c r="C71" s="421"/>
      <c r="D71" s="421"/>
      <c r="E71" s="422">
        <f>SUM('1.1.Coletadomiciliarurbana not'!E26,'1.2.Coletadomiciliarurbana diur'!E26,'1.3.Coletadomiciliarurbana mat'!E26,'1.4.Coletadomiciliarrural matu'!E26,'1.5.Estação de transbordo'!E32,'1.6.Central Triagem '!E26,'1.7.Destino final'!E33)</f>
        <v>551.88071665845848</v>
      </c>
      <c r="F71" s="418">
        <f t="shared" si="3"/>
        <v>2.1265754146339941E-3</v>
      </c>
      <c r="G71" s="366"/>
      <c r="H71" s="377"/>
      <c r="I71" s="362"/>
      <c r="J71" s="363"/>
      <c r="K71" s="107"/>
    </row>
    <row r="72" spans="1:11" ht="15.75" customHeight="1" x14ac:dyDescent="0.2">
      <c r="A72" s="423" t="str">
        <f>'1.7.Destino final'!A225</f>
        <v>6. Deposição no Aterro</v>
      </c>
      <c r="B72" s="424"/>
      <c r="C72" s="425"/>
      <c r="D72" s="425"/>
      <c r="E72" s="426">
        <f>'1.7.Destino final'!E34</f>
        <v>20400</v>
      </c>
      <c r="F72" s="418">
        <f t="shared" si="3"/>
        <v>7.8607817140640024E-2</v>
      </c>
      <c r="G72" s="366"/>
      <c r="H72" s="377"/>
      <c r="I72" s="362"/>
      <c r="J72" s="363"/>
      <c r="K72" s="107"/>
    </row>
    <row r="73" spans="1:11" ht="15.75" customHeight="1" thickBot="1" x14ac:dyDescent="0.25">
      <c r="A73" s="423" t="str">
        <f>'1.7.Destino final'!A233</f>
        <v>7. Benefícios e Despesas Indiretas - BDI</v>
      </c>
      <c r="B73" s="424"/>
      <c r="C73" s="425"/>
      <c r="D73" s="425"/>
      <c r="E73" s="426">
        <f>SUM('1.1.Coletadomiciliarurbana not'!E27,'1.2.Coletadomiciliarurbana diur'!E27,'1.3.Coletadomiciliarurbana mat'!E27,'1.4.Coletadomiciliarrural matu'!E27,'1.5.Estação de transbordo'!E33,'1.6.Central Triagem '!E27,'1.7.Destino final'!E35)</f>
        <v>45010.038830475212</v>
      </c>
      <c r="F73" s="418">
        <f t="shared" si="3"/>
        <v>0.17343827950387758</v>
      </c>
      <c r="G73" s="366"/>
      <c r="H73" s="377"/>
      <c r="I73" s="362"/>
      <c r="J73" s="363"/>
      <c r="K73" s="107"/>
    </row>
    <row r="74" spans="1:11" ht="15.75" customHeight="1" thickBot="1" x14ac:dyDescent="0.25">
      <c r="A74" s="460" t="s">
        <v>554</v>
      </c>
      <c r="B74" s="461"/>
      <c r="C74" s="461"/>
      <c r="D74" s="462"/>
      <c r="E74" s="289">
        <f>E9+E19+E20+E70+E71+E72+E73</f>
        <v>259516.17462550369</v>
      </c>
      <c r="F74" s="290">
        <f t="shared" si="3"/>
        <v>1</v>
      </c>
      <c r="G74" s="455"/>
      <c r="H74" s="377"/>
      <c r="I74" s="362"/>
      <c r="J74" s="363"/>
      <c r="K74" s="107"/>
    </row>
    <row r="75" spans="1:11" x14ac:dyDescent="0.2">
      <c r="I75" s="379"/>
    </row>
    <row r="77" spans="1:11" s="130" customFormat="1" ht="12.6" customHeight="1" x14ac:dyDescent="0.2">
      <c r="A77" s="107"/>
      <c r="B77" s="107"/>
      <c r="C77" s="107"/>
      <c r="D77" s="128"/>
      <c r="E77" s="128"/>
      <c r="F77" s="128"/>
      <c r="H77" s="98"/>
      <c r="I77" s="98"/>
      <c r="J77" s="98"/>
    </row>
    <row r="78" spans="1:11" s="130" customFormat="1" ht="9.75" customHeight="1" x14ac:dyDescent="0.2">
      <c r="A78" s="129"/>
      <c r="H78" s="98"/>
      <c r="I78" s="98"/>
      <c r="J78" s="98"/>
    </row>
    <row r="79" spans="1:11" s="130" customFormat="1" ht="9.75" customHeight="1" x14ac:dyDescent="0.2">
      <c r="A79" s="129"/>
      <c r="H79" s="98"/>
      <c r="I79" s="98"/>
      <c r="J79" s="98"/>
    </row>
    <row r="80" spans="1:11" s="130" customFormat="1" ht="9.75" customHeight="1" x14ac:dyDescent="0.2">
      <c r="A80" s="129"/>
      <c r="H80" s="98"/>
      <c r="I80" s="98"/>
      <c r="J80" s="98"/>
    </row>
  </sheetData>
  <mergeCells count="9">
    <mergeCell ref="A20:C20"/>
    <mergeCell ref="A74:D74"/>
    <mergeCell ref="A7:F7"/>
    <mergeCell ref="A19:C19"/>
    <mergeCell ref="A1:F1"/>
    <mergeCell ref="A2:F2"/>
    <mergeCell ref="A3:F3"/>
    <mergeCell ref="A4:F4"/>
    <mergeCell ref="A5:F5"/>
  </mergeCells>
  <pageMargins left="0.9055118110236221" right="0.51181102362204722" top="1.5354330708661419" bottom="0.74803149606299213" header="0.31496062992125984" footer="0.31496062992125984"/>
  <pageSetup paperSize="9" scale="61" fitToHeight="0" orientation="portrait" r:id="rId1"/>
  <headerFooter alignWithMargins="0">
    <oddFooter>&amp;R&amp;P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925E-D793-4924-8C2D-B88E769C1117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57"/>
  <sheetViews>
    <sheetView view="pageBreakPreview" topLeftCell="A169" zoomScaleNormal="100" zoomScaleSheetLayoutView="100" workbookViewId="0">
      <selection activeCell="D174" sqref="D174"/>
    </sheetView>
  </sheetViews>
  <sheetFormatPr defaultColWidth="9.140625" defaultRowHeight="15.75" x14ac:dyDescent="0.2"/>
  <cols>
    <col min="1" max="1" width="63.42578125" style="98" customWidth="1"/>
    <col min="2" max="2" width="19.85546875" style="98" customWidth="1"/>
    <col min="3" max="3" width="16.42578125" style="98" customWidth="1"/>
    <col min="4" max="4" width="16.85546875" style="130" customWidth="1"/>
    <col min="5" max="5" width="17.28515625" style="130" customWidth="1"/>
    <col min="6" max="6" width="13.28515625" style="130" customWidth="1"/>
    <col min="7" max="7" width="28.140625" style="130" customWidth="1"/>
    <col min="8" max="8" width="9" style="98" customWidth="1"/>
    <col min="9" max="9" width="16.85546875" style="98" customWidth="1"/>
    <col min="10" max="10" width="13.42578125" style="98" customWidth="1"/>
    <col min="11" max="11" width="12.7109375" style="98" bestFit="1" customWidth="1"/>
    <col min="12" max="12" width="16.5703125" style="98" customWidth="1"/>
    <col min="13" max="16384" width="9.140625" style="98"/>
  </cols>
  <sheetData>
    <row r="1" spans="1:6" x14ac:dyDescent="0.2">
      <c r="A1" s="466" t="s">
        <v>197</v>
      </c>
      <c r="B1" s="466"/>
      <c r="C1" s="466"/>
      <c r="D1" s="466"/>
      <c r="E1" s="466"/>
      <c r="F1" s="466"/>
    </row>
    <row r="2" spans="1:6" ht="15.6" customHeight="1" x14ac:dyDescent="0.2">
      <c r="A2" s="467" t="s">
        <v>298</v>
      </c>
      <c r="B2" s="467"/>
      <c r="C2" s="467"/>
      <c r="D2" s="467"/>
      <c r="E2" s="467"/>
      <c r="F2" s="467"/>
    </row>
    <row r="3" spans="1:6" ht="15.6" customHeight="1" x14ac:dyDescent="0.2">
      <c r="A3" s="519" t="s">
        <v>299</v>
      </c>
      <c r="B3" s="519"/>
      <c r="C3" s="519"/>
      <c r="D3" s="519"/>
      <c r="E3" s="519"/>
      <c r="F3" s="519"/>
    </row>
    <row r="4" spans="1:6" ht="16.5" customHeight="1" thickBot="1" x14ac:dyDescent="0.25">
      <c r="A4" s="468"/>
      <c r="B4" s="468"/>
      <c r="C4" s="468"/>
      <c r="D4" s="468"/>
      <c r="E4" s="468"/>
      <c r="F4" s="468"/>
    </row>
    <row r="5" spans="1:6" x14ac:dyDescent="0.2">
      <c r="A5" s="469" t="s">
        <v>552</v>
      </c>
      <c r="B5" s="470"/>
      <c r="C5" s="470"/>
      <c r="D5" s="470"/>
      <c r="E5" s="470"/>
      <c r="F5" s="471"/>
    </row>
    <row r="6" spans="1:6" ht="21.75" customHeight="1" thickBot="1" x14ac:dyDescent="0.25">
      <c r="A6" s="547" t="s">
        <v>44</v>
      </c>
      <c r="B6" s="548"/>
      <c r="C6" s="548"/>
      <c r="D6" s="548"/>
      <c r="E6" s="548"/>
      <c r="F6" s="549"/>
    </row>
    <row r="7" spans="1:6" x14ac:dyDescent="0.2">
      <c r="A7" s="564" t="s">
        <v>547</v>
      </c>
      <c r="B7" s="564"/>
      <c r="C7" s="564"/>
      <c r="D7" s="564"/>
      <c r="E7" s="564"/>
      <c r="F7" s="564"/>
    </row>
    <row r="8" spans="1:6" ht="34.5" customHeight="1" x14ac:dyDescent="0.2">
      <c r="A8" s="550" t="s">
        <v>336</v>
      </c>
      <c r="B8" s="551"/>
      <c r="C8" s="551"/>
      <c r="D8" s="551"/>
      <c r="E8" s="551"/>
      <c r="F8" s="551"/>
    </row>
    <row r="9" spans="1:6" ht="15.75" customHeight="1" x14ac:dyDescent="0.2">
      <c r="A9" s="247" t="s">
        <v>476</v>
      </c>
      <c r="B9" s="248" t="s">
        <v>477</v>
      </c>
      <c r="C9" s="443"/>
      <c r="D9" s="443"/>
      <c r="E9" s="443"/>
      <c r="F9" s="443"/>
    </row>
    <row r="10" spans="1:6" ht="15.75" customHeight="1" x14ac:dyDescent="0.2">
      <c r="A10" s="247" t="s">
        <v>478</v>
      </c>
      <c r="B10" s="248" t="s">
        <v>479</v>
      </c>
      <c r="C10" s="393"/>
      <c r="D10" s="393"/>
      <c r="E10" s="393"/>
      <c r="F10" s="393"/>
    </row>
    <row r="11" spans="1:6" ht="15.75" customHeight="1" x14ac:dyDescent="0.2">
      <c r="A11" s="247" t="s">
        <v>480</v>
      </c>
      <c r="B11" s="248" t="s">
        <v>481</v>
      </c>
      <c r="C11" s="108"/>
      <c r="D11" s="108"/>
      <c r="E11" s="108"/>
      <c r="F11" s="108"/>
    </row>
    <row r="12" spans="1:6" ht="15.75" customHeight="1" x14ac:dyDescent="0.2">
      <c r="A12" s="249" t="s">
        <v>335</v>
      </c>
      <c r="B12" s="248" t="s">
        <v>479</v>
      </c>
      <c r="C12" s="108"/>
      <c r="D12" s="108"/>
      <c r="E12" s="108"/>
      <c r="F12" s="108"/>
    </row>
    <row r="13" spans="1:6" x14ac:dyDescent="0.2">
      <c r="A13" s="563" t="s">
        <v>548</v>
      </c>
      <c r="B13" s="563"/>
      <c r="C13" s="563"/>
      <c r="D13" s="563"/>
      <c r="E13" s="563"/>
      <c r="F13" s="563"/>
    </row>
    <row r="14" spans="1:6" x14ac:dyDescent="0.2">
      <c r="A14" s="563" t="s">
        <v>549</v>
      </c>
      <c r="B14" s="563"/>
      <c r="C14" s="563"/>
      <c r="D14" s="563"/>
      <c r="E14" s="563"/>
      <c r="F14" s="563"/>
    </row>
    <row r="15" spans="1:6" ht="10.9" customHeight="1" thickBot="1" x14ac:dyDescent="0.25">
      <c r="A15" s="468"/>
      <c r="B15" s="565"/>
      <c r="C15" s="565"/>
      <c r="D15" s="565"/>
      <c r="E15" s="565"/>
      <c r="F15" s="565"/>
    </row>
    <row r="16" spans="1:6" ht="15.75" customHeight="1" thickBot="1" x14ac:dyDescent="0.25">
      <c r="A16" s="463" t="s">
        <v>196</v>
      </c>
      <c r="B16" s="464"/>
      <c r="C16" s="464"/>
      <c r="D16" s="464"/>
      <c r="E16" s="464"/>
      <c r="F16" s="465"/>
    </row>
    <row r="17" spans="1:8" ht="15.75" customHeight="1" x14ac:dyDescent="0.2">
      <c r="A17" s="134" t="s">
        <v>195</v>
      </c>
      <c r="B17" s="135"/>
      <c r="C17" s="135"/>
      <c r="D17" s="136"/>
      <c r="E17" s="137" t="s">
        <v>39</v>
      </c>
      <c r="F17" s="138" t="s">
        <v>2</v>
      </c>
    </row>
    <row r="18" spans="1:8" s="107" customFormat="1" ht="15.75" customHeight="1" x14ac:dyDescent="0.2">
      <c r="A18" s="139" t="str">
        <f>A50</f>
        <v>1. Mão-de-obra</v>
      </c>
      <c r="B18" s="140"/>
      <c r="C18" s="141"/>
      <c r="D18" s="141"/>
      <c r="E18" s="142">
        <f>SUM(E19:E22)</f>
        <v>2820.6303186735822</v>
      </c>
      <c r="F18" s="143">
        <f t="shared" ref="F18:F35" si="0">IFERROR(E18/$E$36,0)</f>
        <v>4.1123035875497496E-2</v>
      </c>
      <c r="G18" s="129"/>
    </row>
    <row r="19" spans="1:8" ht="15.75" customHeight="1" x14ac:dyDescent="0.2">
      <c r="A19" s="144" t="str">
        <f>A53</f>
        <v>1.3. Motorista Turno do Dia</v>
      </c>
      <c r="B19" s="145"/>
      <c r="C19" s="146"/>
      <c r="D19" s="146"/>
      <c r="E19" s="147">
        <f>F65</f>
        <v>2583.9936452813999</v>
      </c>
      <c r="F19" s="312">
        <f t="shared" si="0"/>
        <v>3.7673020343529005E-2</v>
      </c>
    </row>
    <row r="20" spans="1:8" ht="15.75" customHeight="1" x14ac:dyDescent="0.2">
      <c r="A20" s="144" t="str">
        <f>A68</f>
        <v>1.7. Vale Transporte</v>
      </c>
      <c r="B20" s="145"/>
      <c r="C20" s="146"/>
      <c r="D20" s="146"/>
      <c r="E20" s="147">
        <f>F73</f>
        <v>-40.369748467815796</v>
      </c>
      <c r="F20" s="312">
        <f t="shared" si="0"/>
        <v>-5.8856582641694192E-4</v>
      </c>
    </row>
    <row r="21" spans="1:8" ht="15.75" customHeight="1" x14ac:dyDescent="0.2">
      <c r="A21" s="144" t="str">
        <f>A75</f>
        <v>1.8. Vale-refeição (diário)</v>
      </c>
      <c r="B21" s="145"/>
      <c r="C21" s="146"/>
      <c r="D21" s="146"/>
      <c r="E21" s="147">
        <f>F78</f>
        <v>218.39999999999998</v>
      </c>
      <c r="F21" s="312">
        <f t="shared" si="0"/>
        <v>3.1841361754319326E-3</v>
      </c>
    </row>
    <row r="22" spans="1:8" ht="15.75" customHeight="1" x14ac:dyDescent="0.2">
      <c r="A22" s="144" t="str">
        <f>A80</f>
        <v>1.9 Auxílio Alimentação (mensal)</v>
      </c>
      <c r="B22" s="145"/>
      <c r="C22" s="146"/>
      <c r="D22" s="146"/>
      <c r="E22" s="147">
        <f>F83</f>
        <v>58.606421859998285</v>
      </c>
      <c r="F22" s="312">
        <f t="shared" si="0"/>
        <v>8.5444518295350435E-4</v>
      </c>
    </row>
    <row r="23" spans="1:8" s="107" customFormat="1" ht="15.75" customHeight="1" x14ac:dyDescent="0.2">
      <c r="A23" s="512" t="str">
        <f>A87</f>
        <v>2. Uniformes e Equipamentos de Proteção Individual</v>
      </c>
      <c r="B23" s="513"/>
      <c r="C23" s="513"/>
      <c r="D23" s="141"/>
      <c r="E23" s="142">
        <f>+F102</f>
        <v>100.76267849999999</v>
      </c>
      <c r="F23" s="143">
        <f t="shared" si="0"/>
        <v>1.4690571874783308E-3</v>
      </c>
      <c r="G23" s="129"/>
    </row>
    <row r="24" spans="1:8" s="107" customFormat="1" ht="15.75" customHeight="1" x14ac:dyDescent="0.2">
      <c r="A24" s="149" t="str">
        <f>A104</f>
        <v>3. Veículos e Equipamentos</v>
      </c>
      <c r="B24" s="150"/>
      <c r="C24" s="141"/>
      <c r="D24" s="141"/>
      <c r="E24" s="142">
        <f>+F201</f>
        <v>34378.883065753158</v>
      </c>
      <c r="F24" s="143">
        <f t="shared" si="0"/>
        <v>0.50122273461817257</v>
      </c>
      <c r="G24" s="129"/>
    </row>
    <row r="25" spans="1:8" ht="15.75" customHeight="1" x14ac:dyDescent="0.2">
      <c r="A25" s="151" t="str">
        <f>A106</f>
        <v xml:space="preserve">3.7. Conjunto com carreta tipo "roll -on"  e containers para destino final </v>
      </c>
      <c r="B25" s="152"/>
      <c r="C25" s="146"/>
      <c r="D25" s="146"/>
      <c r="E25" s="147">
        <f>SUM(E26:E31)</f>
        <v>34378.883065753158</v>
      </c>
      <c r="F25" s="312">
        <f t="shared" si="0"/>
        <v>0.50122273461817257</v>
      </c>
    </row>
    <row r="26" spans="1:8" ht="15.75" customHeight="1" x14ac:dyDescent="0.2">
      <c r="A26" s="151" t="str">
        <f>A108</f>
        <v>3.7.1. Depreciação</v>
      </c>
      <c r="B26" s="152"/>
      <c r="C26" s="146"/>
      <c r="D26" s="146"/>
      <c r="E26" s="147">
        <f>F132</f>
        <v>8035.9595194032008</v>
      </c>
      <c r="F26" s="312">
        <f t="shared" si="0"/>
        <v>0.11715929217050522</v>
      </c>
    </row>
    <row r="27" spans="1:8" ht="15.75" customHeight="1" x14ac:dyDescent="0.2">
      <c r="A27" s="151" t="str">
        <f>A134</f>
        <v>3.7.2. Remuneração do Capital</v>
      </c>
      <c r="B27" s="152"/>
      <c r="C27" s="146"/>
      <c r="D27" s="146"/>
      <c r="E27" s="147">
        <f>F158</f>
        <v>5196.492410125501</v>
      </c>
      <c r="F27" s="312">
        <f t="shared" si="0"/>
        <v>7.5761627602738454E-2</v>
      </c>
    </row>
    <row r="28" spans="1:8" ht="15.75" customHeight="1" x14ac:dyDescent="0.2">
      <c r="A28" s="151" t="str">
        <f>A160</f>
        <v>3.7.3. Impostos e Seguros</v>
      </c>
      <c r="B28" s="152"/>
      <c r="C28" s="146"/>
      <c r="D28" s="146"/>
      <c r="E28" s="147">
        <f>F166</f>
        <v>885.44343041256195</v>
      </c>
      <c r="F28" s="312">
        <f t="shared" si="0"/>
        <v>1.2909214551626308E-2</v>
      </c>
    </row>
    <row r="29" spans="1:8" ht="15.75" customHeight="1" x14ac:dyDescent="0.2">
      <c r="A29" s="151" t="str">
        <f>A168</f>
        <v>3.7.4. Consumos</v>
      </c>
      <c r="B29" s="152"/>
      <c r="C29" s="146"/>
      <c r="D29" s="146"/>
      <c r="E29" s="147">
        <f>F184</f>
        <v>14136.532038980349</v>
      </c>
      <c r="F29" s="312">
        <f t="shared" si="0"/>
        <v>0.20610184551497193</v>
      </c>
    </row>
    <row r="30" spans="1:8" ht="15.75" customHeight="1" x14ac:dyDescent="0.2">
      <c r="A30" s="151" t="str">
        <f>A186</f>
        <v>3.7.5. Manutenção</v>
      </c>
      <c r="B30" s="152"/>
      <c r="C30" s="146"/>
      <c r="D30" s="146"/>
      <c r="E30" s="147">
        <f>F189</f>
        <v>2486.4</v>
      </c>
      <c r="F30" s="312">
        <f t="shared" si="0"/>
        <v>3.6250165689532772E-2</v>
      </c>
      <c r="H30" s="108"/>
    </row>
    <row r="31" spans="1:8" ht="15.75" customHeight="1" x14ac:dyDescent="0.2">
      <c r="A31" s="151" t="str">
        <f>A191</f>
        <v>3.7.6. Pneus</v>
      </c>
      <c r="B31" s="152"/>
      <c r="C31" s="146"/>
      <c r="D31" s="146"/>
      <c r="E31" s="147">
        <f>F198</f>
        <v>3638.0556668315426</v>
      </c>
      <c r="F31" s="312">
        <f t="shared" si="0"/>
        <v>5.3040589088797885E-2</v>
      </c>
    </row>
    <row r="32" spans="1:8" s="107" customFormat="1" ht="15.75" customHeight="1" x14ac:dyDescent="0.2">
      <c r="A32" s="149" t="str">
        <f>A203</f>
        <v>4. Ferramentas e Materiais de Consumo</v>
      </c>
      <c r="B32" s="150"/>
      <c r="C32" s="141"/>
      <c r="D32" s="141"/>
      <c r="E32" s="142">
        <f>+F212</f>
        <v>14.685258503468972</v>
      </c>
      <c r="F32" s="143">
        <f t="shared" si="0"/>
        <v>2.1410193611018756E-4</v>
      </c>
      <c r="G32" s="129"/>
    </row>
    <row r="33" spans="1:7" s="107" customFormat="1" ht="15.75" customHeight="1" x14ac:dyDescent="0.2">
      <c r="A33" s="149" t="str">
        <f>A214</f>
        <v>5. Monitoramento da Frota</v>
      </c>
      <c r="B33" s="150"/>
      <c r="C33" s="141"/>
      <c r="D33" s="141"/>
      <c r="E33" s="142">
        <f>+F223</f>
        <v>63.097552312442822</v>
      </c>
      <c r="F33" s="143">
        <f t="shared" si="0"/>
        <v>9.1992307188304943E-4</v>
      </c>
      <c r="G33" s="129"/>
    </row>
    <row r="34" spans="1:7" s="107" customFormat="1" ht="15.75" customHeight="1" x14ac:dyDescent="0.2">
      <c r="A34" s="149" t="str">
        <f>A225</f>
        <v>6. Deposição no Aterro</v>
      </c>
      <c r="B34" s="150"/>
      <c r="C34" s="141"/>
      <c r="D34" s="141"/>
      <c r="E34" s="309">
        <f>F229</f>
        <v>20400</v>
      </c>
      <c r="F34" s="143">
        <f t="shared" si="0"/>
        <v>0.29741931308979591</v>
      </c>
      <c r="G34" s="129"/>
    </row>
    <row r="35" spans="1:7" s="107" customFormat="1" ht="15.75" customHeight="1" thickBot="1" x14ac:dyDescent="0.25">
      <c r="A35" s="149" t="str">
        <f>A233</f>
        <v>7. Benefícios e Despesas Indiretas - BDI</v>
      </c>
      <c r="B35" s="150"/>
      <c r="C35" s="141"/>
      <c r="D35" s="141"/>
      <c r="E35" s="153">
        <f>+F240</f>
        <v>10811.972446250649</v>
      </c>
      <c r="F35" s="143">
        <f t="shared" si="0"/>
        <v>0.15763183422106219</v>
      </c>
      <c r="G35" s="129"/>
    </row>
    <row r="36" spans="1:7" ht="15.75" customHeight="1" thickBot="1" x14ac:dyDescent="0.25">
      <c r="A36" s="154" t="s">
        <v>346</v>
      </c>
      <c r="B36" s="155"/>
      <c r="C36" s="156"/>
      <c r="D36" s="156"/>
      <c r="E36" s="157">
        <f>E18+E23+E24+E32+E33+E35+E34</f>
        <v>68590.031319993315</v>
      </c>
      <c r="F36" s="158">
        <f>F18+F24+F32+F33+F34+F35</f>
        <v>0.99853094281252142</v>
      </c>
    </row>
    <row r="38" spans="1:7" ht="16.5" thickBot="1" x14ac:dyDescent="0.25"/>
    <row r="39" spans="1:7" ht="15" customHeight="1" thickBot="1" x14ac:dyDescent="0.25">
      <c r="A39" s="558" t="s">
        <v>95</v>
      </c>
      <c r="B39" s="559"/>
      <c r="C39" s="559"/>
      <c r="D39" s="559"/>
      <c r="E39" s="560"/>
    </row>
    <row r="40" spans="1:7" ht="15" customHeight="1" x14ac:dyDescent="0.2">
      <c r="A40" s="561" t="s">
        <v>40</v>
      </c>
      <c r="B40" s="562"/>
      <c r="C40" s="562"/>
      <c r="D40" s="562"/>
      <c r="E40" s="303" t="s">
        <v>41</v>
      </c>
    </row>
    <row r="41" spans="1:7" ht="15" customHeight="1" x14ac:dyDescent="0.2">
      <c r="A41" s="293" t="str">
        <f>+A53</f>
        <v>1.3. Motorista Turno do Dia</v>
      </c>
      <c r="B41" s="177"/>
      <c r="C41" s="177"/>
      <c r="D41" s="32"/>
      <c r="E41" s="159">
        <f>C64</f>
        <v>1</v>
      </c>
    </row>
    <row r="42" spans="1:7" ht="15" customHeight="1" x14ac:dyDescent="0.2">
      <c r="A42" s="294" t="s">
        <v>333</v>
      </c>
      <c r="B42" s="292"/>
      <c r="C42" s="292"/>
      <c r="D42" s="32"/>
      <c r="E42" s="295">
        <f>SUM(E41:E41)</f>
        <v>1</v>
      </c>
    </row>
    <row r="43" spans="1:7" ht="15" customHeight="1" x14ac:dyDescent="0.2">
      <c r="A43" s="294"/>
      <c r="B43" s="292"/>
      <c r="C43" s="177"/>
      <c r="D43" s="177"/>
      <c r="E43" s="296"/>
    </row>
    <row r="44" spans="1:7" ht="15" customHeight="1" x14ac:dyDescent="0.2">
      <c r="A44" s="521" t="s">
        <v>57</v>
      </c>
      <c r="B44" s="522"/>
      <c r="C44" s="522"/>
      <c r="D44" s="522"/>
      <c r="E44" s="302" t="s">
        <v>41</v>
      </c>
      <c r="F44" s="98"/>
    </row>
    <row r="45" spans="1:7" ht="15" customHeight="1" thickBot="1" x14ac:dyDescent="0.25">
      <c r="A45" s="297" t="str">
        <f>+A106</f>
        <v xml:space="preserve">3.7. Conjunto com carreta tipo "roll -on"  e containers para destino final </v>
      </c>
      <c r="B45" s="298"/>
      <c r="C45" s="298"/>
      <c r="D45" s="111"/>
      <c r="E45" s="161">
        <f>C131</f>
        <v>1</v>
      </c>
      <c r="F45" s="98"/>
    </row>
    <row r="46" spans="1:7" ht="15" customHeight="1" x14ac:dyDescent="0.2">
      <c r="A46" s="160"/>
      <c r="B46" s="160"/>
      <c r="C46" s="160"/>
      <c r="D46" s="98"/>
      <c r="E46" s="162"/>
      <c r="F46" s="98"/>
    </row>
    <row r="47" spans="1:7" ht="16.5" thickBot="1" x14ac:dyDescent="0.25">
      <c r="A47" s="160"/>
      <c r="B47" s="160"/>
      <c r="C47" s="160"/>
      <c r="D47" s="98"/>
      <c r="E47" s="163"/>
      <c r="F47" s="98"/>
    </row>
    <row r="48" spans="1:7" s="107" customFormat="1" ht="15.75" customHeight="1" thickBot="1" x14ac:dyDescent="0.25">
      <c r="A48" s="164" t="s">
        <v>297</v>
      </c>
      <c r="B48" s="346">
        <v>0.5181</v>
      </c>
      <c r="C48" s="128"/>
      <c r="E48" s="165"/>
      <c r="G48" s="129"/>
    </row>
    <row r="49" spans="1:12" ht="15.75" customHeight="1" x14ac:dyDescent="0.2">
      <c r="A49" s="520"/>
      <c r="B49" s="520"/>
      <c r="C49" s="520"/>
      <c r="D49" s="520"/>
      <c r="E49" s="520"/>
      <c r="F49" s="520"/>
    </row>
    <row r="50" spans="1:12" ht="13.15" customHeight="1" x14ac:dyDescent="0.2">
      <c r="A50" s="505" t="s">
        <v>48</v>
      </c>
      <c r="B50" s="505"/>
      <c r="C50" s="505"/>
      <c r="D50" s="505"/>
      <c r="E50" s="505"/>
      <c r="F50" s="505"/>
    </row>
    <row r="51" spans="1:12" ht="11.25" customHeight="1" x14ac:dyDescent="0.2">
      <c r="A51" s="467"/>
      <c r="B51" s="467"/>
      <c r="C51" s="467"/>
      <c r="D51" s="467"/>
      <c r="E51" s="467"/>
      <c r="F51" s="467"/>
    </row>
    <row r="52" spans="1:12" s="130" customFormat="1" ht="11.25" customHeight="1" x14ac:dyDescent="0.2">
      <c r="A52" s="467"/>
      <c r="B52" s="467"/>
      <c r="C52" s="467"/>
      <c r="D52" s="467"/>
      <c r="E52" s="467"/>
      <c r="F52" s="467"/>
      <c r="H52" s="98"/>
      <c r="I52" s="98"/>
      <c r="J52" s="98"/>
    </row>
    <row r="53" spans="1:12" s="130" customFormat="1" ht="16.5" thickBot="1" x14ac:dyDescent="0.25">
      <c r="A53" s="495" t="s">
        <v>99</v>
      </c>
      <c r="B53" s="495"/>
      <c r="C53" s="495"/>
      <c r="D53" s="495"/>
      <c r="E53" s="495"/>
      <c r="F53" s="495"/>
      <c r="H53" s="98"/>
      <c r="I53" s="98"/>
      <c r="J53" s="98"/>
    </row>
    <row r="54" spans="1:12" ht="13.15" customHeight="1" thickBot="1" x14ac:dyDescent="0.25">
      <c r="A54" s="166" t="s">
        <v>65</v>
      </c>
      <c r="B54" s="167" t="s">
        <v>66</v>
      </c>
      <c r="C54" s="167" t="s">
        <v>41</v>
      </c>
      <c r="D54" s="168" t="s">
        <v>227</v>
      </c>
      <c r="E54" s="168" t="s">
        <v>67</v>
      </c>
      <c r="F54" s="169" t="s">
        <v>300</v>
      </c>
    </row>
    <row r="55" spans="1:12" x14ac:dyDescent="0.2">
      <c r="A55" s="251" t="s">
        <v>209</v>
      </c>
      <c r="B55" s="37" t="s">
        <v>7</v>
      </c>
      <c r="C55" s="37">
        <v>1</v>
      </c>
      <c r="D55" s="170">
        <v>2584.9899999999998</v>
      </c>
      <c r="E55" s="171">
        <f>C55*D55</f>
        <v>2584.9899999999998</v>
      </c>
      <c r="F55" s="252"/>
      <c r="H55" s="377"/>
      <c r="I55" s="362"/>
      <c r="J55" s="363"/>
      <c r="K55" s="363"/>
      <c r="L55" s="381"/>
    </row>
    <row r="56" spans="1:12" x14ac:dyDescent="0.2">
      <c r="A56" s="251" t="s">
        <v>210</v>
      </c>
      <c r="B56" s="37" t="s">
        <v>7</v>
      </c>
      <c r="C56" s="37">
        <v>1</v>
      </c>
      <c r="D56" s="170">
        <v>1320</v>
      </c>
      <c r="E56" s="171"/>
      <c r="F56" s="252"/>
      <c r="H56" s="377"/>
      <c r="I56" s="362"/>
      <c r="J56" s="363"/>
      <c r="K56" s="363"/>
      <c r="L56" s="381"/>
    </row>
    <row r="57" spans="1:12" x14ac:dyDescent="0.2">
      <c r="A57" s="31" t="s">
        <v>35</v>
      </c>
      <c r="B57" s="25" t="s">
        <v>0</v>
      </c>
      <c r="C57" s="172">
        <v>0</v>
      </c>
      <c r="D57" s="173">
        <f>D55/220*2</f>
        <v>23.499909090909089</v>
      </c>
      <c r="E57" s="173">
        <f>C57*D57</f>
        <v>0</v>
      </c>
      <c r="F57" s="252"/>
      <c r="H57" s="377"/>
      <c r="I57" s="362"/>
      <c r="J57" s="363"/>
      <c r="K57" s="363"/>
      <c r="L57" s="381"/>
    </row>
    <row r="58" spans="1:12" x14ac:dyDescent="0.2">
      <c r="A58" s="31" t="s">
        <v>212</v>
      </c>
      <c r="B58" s="25" t="s">
        <v>34</v>
      </c>
      <c r="D58" s="173">
        <f>63/302*(SUM(E57:E57))</f>
        <v>0</v>
      </c>
      <c r="E58" s="173">
        <f>D58</f>
        <v>0</v>
      </c>
      <c r="F58" s="252"/>
      <c r="H58" s="377"/>
      <c r="I58" s="362"/>
      <c r="J58" s="363"/>
      <c r="K58" s="363"/>
      <c r="L58" s="381"/>
    </row>
    <row r="59" spans="1:12" x14ac:dyDescent="0.2">
      <c r="A59" s="31" t="s">
        <v>208</v>
      </c>
      <c r="B59" s="25"/>
      <c r="C59" s="180">
        <v>1</v>
      </c>
      <c r="D59" s="173"/>
      <c r="E59" s="173"/>
      <c r="F59" s="252"/>
      <c r="L59" s="381"/>
    </row>
    <row r="60" spans="1:12" x14ac:dyDescent="0.2">
      <c r="A60" s="31" t="s">
        <v>1</v>
      </c>
      <c r="B60" s="25" t="s">
        <v>2</v>
      </c>
      <c r="C60" s="454">
        <v>20</v>
      </c>
      <c r="D60" s="174">
        <f>IF(C59=2,SUM(E55:E56),IF(C59=1,(SUM(E55:E56))*D56/D55,0))</f>
        <v>1320</v>
      </c>
      <c r="E60" s="173">
        <f>C60*D60/100</f>
        <v>264</v>
      </c>
      <c r="F60" s="252"/>
      <c r="L60" s="381"/>
    </row>
    <row r="61" spans="1:12" s="107" customFormat="1" x14ac:dyDescent="0.2">
      <c r="A61" s="523" t="s">
        <v>302</v>
      </c>
      <c r="B61" s="524"/>
      <c r="C61" s="524"/>
      <c r="D61" s="525"/>
      <c r="E61" s="181">
        <f>SUM(E55:E60)</f>
        <v>2848.99</v>
      </c>
      <c r="F61" s="258"/>
      <c r="G61" s="129"/>
      <c r="L61" s="382"/>
    </row>
    <row r="62" spans="1:12" x14ac:dyDescent="0.2">
      <c r="A62" s="31" t="s">
        <v>3</v>
      </c>
      <c r="B62" s="25" t="s">
        <v>2</v>
      </c>
      <c r="C62" s="176">
        <f>'2.Encargos Sociais'!$C$34*100</f>
        <v>75.06</v>
      </c>
      <c r="D62" s="173">
        <f>E61</f>
        <v>2848.99</v>
      </c>
      <c r="E62" s="173">
        <f>D62*C62/100</f>
        <v>2138.4518939999998</v>
      </c>
      <c r="F62" s="252"/>
      <c r="L62" s="381"/>
    </row>
    <row r="63" spans="1:12" s="107" customFormat="1" x14ac:dyDescent="0.2">
      <c r="A63" s="523" t="s">
        <v>305</v>
      </c>
      <c r="B63" s="524"/>
      <c r="C63" s="524"/>
      <c r="D63" s="525"/>
      <c r="E63" s="181">
        <f>E61+E62</f>
        <v>4987.4418939999996</v>
      </c>
      <c r="F63" s="258"/>
      <c r="G63" s="129"/>
      <c r="L63" s="382"/>
    </row>
    <row r="64" spans="1:12" x14ac:dyDescent="0.2">
      <c r="A64" s="253" t="s">
        <v>4</v>
      </c>
      <c r="B64" s="254" t="s">
        <v>5</v>
      </c>
      <c r="C64" s="255">
        <v>1</v>
      </c>
      <c r="D64" s="173">
        <f>E63</f>
        <v>4987.4418939999996</v>
      </c>
      <c r="E64" s="173">
        <f>C64*D64</f>
        <v>4987.4418939999996</v>
      </c>
      <c r="F64" s="252"/>
      <c r="L64" s="381"/>
    </row>
    <row r="65" spans="1:12" ht="16.5" thickBot="1" x14ac:dyDescent="0.25">
      <c r="A65" s="556" t="str">
        <f>F54</f>
        <v>Total (R$)</v>
      </c>
      <c r="B65" s="557"/>
      <c r="C65" s="557"/>
      <c r="D65" s="256" t="s">
        <v>301</v>
      </c>
      <c r="E65" s="349">
        <f>$B$48</f>
        <v>0.5181</v>
      </c>
      <c r="F65" s="211">
        <f>E64*E65</f>
        <v>2583.9936452813999</v>
      </c>
      <c r="L65" s="381"/>
    </row>
    <row r="66" spans="1:12" ht="11.25" customHeight="1" x14ac:dyDescent="0.2">
      <c r="A66" s="467"/>
      <c r="B66" s="467"/>
      <c r="C66" s="467"/>
      <c r="D66" s="467"/>
      <c r="E66" s="467"/>
      <c r="F66" s="467"/>
      <c r="L66" s="381"/>
    </row>
    <row r="67" spans="1:12" ht="11.25" customHeight="1" x14ac:dyDescent="0.2">
      <c r="A67" s="467"/>
      <c r="B67" s="467"/>
      <c r="C67" s="467"/>
      <c r="D67" s="467"/>
      <c r="E67" s="467"/>
      <c r="F67" s="467"/>
      <c r="G67" s="98"/>
      <c r="L67" s="381"/>
    </row>
    <row r="68" spans="1:12" ht="16.5" thickBot="1" x14ac:dyDescent="0.25">
      <c r="A68" s="495" t="s">
        <v>417</v>
      </c>
      <c r="B68" s="495"/>
      <c r="C68" s="495"/>
      <c r="D68" s="495"/>
      <c r="E68" s="495"/>
      <c r="F68" s="495"/>
      <c r="G68" s="98"/>
      <c r="L68" s="381"/>
    </row>
    <row r="69" spans="1:12" ht="16.5" thickBot="1" x14ac:dyDescent="0.25">
      <c r="A69" s="166" t="s">
        <v>65</v>
      </c>
      <c r="B69" s="167" t="s">
        <v>66</v>
      </c>
      <c r="C69" s="167" t="s">
        <v>41</v>
      </c>
      <c r="D69" s="168" t="s">
        <v>227</v>
      </c>
      <c r="E69" s="168" t="s">
        <v>67</v>
      </c>
      <c r="F69" s="169" t="s">
        <v>300</v>
      </c>
      <c r="G69" s="98"/>
      <c r="L69" s="381"/>
    </row>
    <row r="70" spans="1:12" x14ac:dyDescent="0.2">
      <c r="A70" s="31" t="s">
        <v>91</v>
      </c>
      <c r="B70" s="25" t="s">
        <v>34</v>
      </c>
      <c r="C70" s="182">
        <v>1</v>
      </c>
      <c r="D70" s="262">
        <v>4.7804021471743408</v>
      </c>
      <c r="E70" s="214"/>
      <c r="F70" s="259"/>
      <c r="H70" s="377"/>
      <c r="I70" s="362"/>
      <c r="J70" s="363"/>
      <c r="K70" s="363"/>
      <c r="L70" s="381"/>
    </row>
    <row r="71" spans="1:12" x14ac:dyDescent="0.2">
      <c r="A71" s="31" t="s">
        <v>92</v>
      </c>
      <c r="B71" s="25" t="s">
        <v>93</v>
      </c>
      <c r="C71" s="263">
        <v>12</v>
      </c>
      <c r="D71" s="173"/>
      <c r="E71" s="214"/>
      <c r="F71" s="260"/>
      <c r="G71" s="98"/>
      <c r="L71" s="381"/>
    </row>
    <row r="72" spans="1:12" x14ac:dyDescent="0.2">
      <c r="A72" s="251" t="s">
        <v>45</v>
      </c>
      <c r="B72" s="37" t="s">
        <v>8</v>
      </c>
      <c r="C72" s="183">
        <f>$C$71*2*(C64)</f>
        <v>24</v>
      </c>
      <c r="D72" s="171">
        <f>IFERROR((($C$71*2*$D$70)-(E55*0.06))/($C$71*2),"-")</f>
        <v>-1.6820728528256581</v>
      </c>
      <c r="E72" s="215">
        <f>IFERROR(C72*D72,"-")</f>
        <v>-40.369748467815796</v>
      </c>
      <c r="F72" s="260"/>
      <c r="G72" s="98"/>
      <c r="L72" s="381"/>
    </row>
    <row r="73" spans="1:12" ht="16.5" thickBot="1" x14ac:dyDescent="0.25">
      <c r="A73" s="509" t="str">
        <f>F69</f>
        <v>Total (R$)</v>
      </c>
      <c r="B73" s="497"/>
      <c r="C73" s="497"/>
      <c r="D73" s="497"/>
      <c r="E73" s="498"/>
      <c r="F73" s="264">
        <f>SUM(E72:E72)</f>
        <v>-40.369748467815796</v>
      </c>
      <c r="G73" s="98"/>
      <c r="L73" s="381"/>
    </row>
    <row r="74" spans="1:12" ht="11.25" customHeight="1" x14ac:dyDescent="0.2">
      <c r="A74" s="467"/>
      <c r="B74" s="467"/>
      <c r="C74" s="467"/>
      <c r="D74" s="467"/>
      <c r="E74" s="467"/>
      <c r="F74" s="467"/>
      <c r="G74" s="98"/>
      <c r="L74" s="381"/>
    </row>
    <row r="75" spans="1:12" ht="16.5" thickBot="1" x14ac:dyDescent="0.25">
      <c r="A75" s="495" t="s">
        <v>418</v>
      </c>
      <c r="B75" s="495"/>
      <c r="C75" s="495"/>
      <c r="D75" s="495"/>
      <c r="E75" s="495"/>
      <c r="F75" s="495"/>
      <c r="G75" s="98"/>
      <c r="L75" s="381"/>
    </row>
    <row r="76" spans="1:12" ht="16.5" thickBot="1" x14ac:dyDescent="0.25">
      <c r="A76" s="166" t="s">
        <v>65</v>
      </c>
      <c r="B76" s="167" t="s">
        <v>66</v>
      </c>
      <c r="C76" s="167" t="s">
        <v>41</v>
      </c>
      <c r="D76" s="168" t="s">
        <v>227</v>
      </c>
      <c r="E76" s="168" t="s">
        <v>67</v>
      </c>
      <c r="F76" s="169" t="s">
        <v>300</v>
      </c>
      <c r="G76" s="98"/>
      <c r="L76" s="381"/>
    </row>
    <row r="77" spans="1:12" x14ac:dyDescent="0.2">
      <c r="A77" s="31" t="str">
        <f>+A72</f>
        <v>Motorista</v>
      </c>
      <c r="B77" s="25" t="s">
        <v>9</v>
      </c>
      <c r="C77" s="184">
        <f>SUM(C71)</f>
        <v>12</v>
      </c>
      <c r="D77" s="185">
        <v>18.2</v>
      </c>
      <c r="E77" s="216">
        <f>C77*D77</f>
        <v>218.39999999999998</v>
      </c>
      <c r="F77" s="261"/>
      <c r="H77" s="377"/>
      <c r="I77" s="362"/>
      <c r="J77" s="363"/>
      <c r="K77" s="363"/>
      <c r="L77" s="381"/>
    </row>
    <row r="78" spans="1:12" ht="16.5" thickBot="1" x14ac:dyDescent="0.25">
      <c r="A78" s="509" t="str">
        <f>F76</f>
        <v>Total (R$)</v>
      </c>
      <c r="B78" s="497"/>
      <c r="C78" s="497"/>
      <c r="D78" s="497"/>
      <c r="E78" s="498"/>
      <c r="F78" s="264">
        <f>SUM(E77:E77)</f>
        <v>218.39999999999998</v>
      </c>
      <c r="G78" s="360"/>
      <c r="L78" s="381"/>
    </row>
    <row r="79" spans="1:12" x14ac:dyDescent="0.2">
      <c r="A79" s="467"/>
      <c r="B79" s="467"/>
      <c r="C79" s="467"/>
      <c r="D79" s="467"/>
      <c r="E79" s="467"/>
      <c r="F79" s="467"/>
      <c r="G79" s="360"/>
      <c r="L79" s="381"/>
    </row>
    <row r="80" spans="1:12" ht="16.5" thickBot="1" x14ac:dyDescent="0.25">
      <c r="A80" s="495" t="s">
        <v>420</v>
      </c>
      <c r="B80" s="495"/>
      <c r="C80" s="495"/>
      <c r="D80" s="495"/>
      <c r="E80" s="495"/>
      <c r="F80" s="495"/>
      <c r="G80" s="98"/>
      <c r="L80" s="381"/>
    </row>
    <row r="81" spans="1:12" ht="16.5" thickBot="1" x14ac:dyDescent="0.25">
      <c r="A81" s="166" t="s">
        <v>65</v>
      </c>
      <c r="B81" s="167" t="s">
        <v>66</v>
      </c>
      <c r="C81" s="167" t="s">
        <v>41</v>
      </c>
      <c r="D81" s="168" t="s">
        <v>227</v>
      </c>
      <c r="E81" s="168" t="s">
        <v>67</v>
      </c>
      <c r="F81" s="169" t="s">
        <v>300</v>
      </c>
      <c r="G81" s="98"/>
      <c r="L81" s="381"/>
    </row>
    <row r="82" spans="1:12" x14ac:dyDescent="0.2">
      <c r="A82" s="31" t="str">
        <f>+A77</f>
        <v>Motorista</v>
      </c>
      <c r="B82" s="25" t="s">
        <v>9</v>
      </c>
      <c r="C82" s="184">
        <f>E41</f>
        <v>1</v>
      </c>
      <c r="D82" s="185">
        <v>113.11797309399398</v>
      </c>
      <c r="E82" s="216">
        <f>C82*D82</f>
        <v>113.11797309399398</v>
      </c>
      <c r="F82" s="261"/>
      <c r="H82" s="377"/>
      <c r="I82" s="362"/>
      <c r="J82" s="363"/>
      <c r="K82" s="363"/>
      <c r="L82" s="381"/>
    </row>
    <row r="83" spans="1:12" ht="16.5" thickBot="1" x14ac:dyDescent="0.25">
      <c r="A83" s="509" t="str">
        <f>F81</f>
        <v>Total (R$)</v>
      </c>
      <c r="B83" s="497"/>
      <c r="C83" s="498"/>
      <c r="D83" s="257" t="s">
        <v>301</v>
      </c>
      <c r="E83" s="350">
        <f>$B$48</f>
        <v>0.5181</v>
      </c>
      <c r="F83" s="264">
        <f>SUM(E82:E82)*E83</f>
        <v>58.606421859998285</v>
      </c>
      <c r="G83" s="98"/>
      <c r="L83" s="381"/>
    </row>
    <row r="84" spans="1:12" ht="16.5" thickBot="1" x14ac:dyDescent="0.25">
      <c r="G84" s="98"/>
      <c r="L84" s="381"/>
    </row>
    <row r="85" spans="1:12" ht="16.5" thickBot="1" x14ac:dyDescent="0.25">
      <c r="A85" s="217" t="s">
        <v>306</v>
      </c>
      <c r="B85" s="218"/>
      <c r="C85" s="218"/>
      <c r="D85" s="156"/>
      <c r="E85" s="156"/>
      <c r="F85" s="219">
        <f>F83+F78+F73+F65</f>
        <v>2820.6303186735822</v>
      </c>
      <c r="G85" s="360"/>
      <c r="L85" s="381"/>
    </row>
    <row r="86" spans="1:12" x14ac:dyDescent="0.2">
      <c r="A86" s="527"/>
      <c r="B86" s="527"/>
      <c r="C86" s="527"/>
      <c r="D86" s="527"/>
      <c r="E86" s="527"/>
      <c r="F86" s="527"/>
      <c r="G86" s="98"/>
      <c r="L86" s="381"/>
    </row>
    <row r="87" spans="1:12" x14ac:dyDescent="0.2">
      <c r="A87" s="505" t="s">
        <v>46</v>
      </c>
      <c r="B87" s="505"/>
      <c r="C87" s="505"/>
      <c r="D87" s="505"/>
      <c r="E87" s="505"/>
      <c r="F87" s="505"/>
      <c r="G87" s="98"/>
      <c r="L87" s="381"/>
    </row>
    <row r="88" spans="1:12" ht="11.25" customHeight="1" x14ac:dyDescent="0.2">
      <c r="A88" s="467"/>
      <c r="B88" s="467"/>
      <c r="C88" s="467"/>
      <c r="D88" s="467"/>
      <c r="E88" s="467"/>
      <c r="F88" s="467"/>
      <c r="G88" s="98"/>
      <c r="L88" s="381"/>
    </row>
    <row r="89" spans="1:12" ht="13.9" customHeight="1" x14ac:dyDescent="0.2">
      <c r="A89" s="526" t="s">
        <v>311</v>
      </c>
      <c r="B89" s="526"/>
      <c r="C89" s="526"/>
      <c r="D89" s="526"/>
      <c r="E89" s="526"/>
      <c r="F89" s="526"/>
      <c r="L89" s="381"/>
    </row>
    <row r="90" spans="1:12" ht="11.25" customHeight="1" thickBot="1" x14ac:dyDescent="0.25">
      <c r="A90" s="468"/>
      <c r="B90" s="468"/>
      <c r="C90" s="468"/>
      <c r="D90" s="468"/>
      <c r="E90" s="468"/>
      <c r="F90" s="468"/>
      <c r="G90" s="98"/>
      <c r="L90" s="381"/>
    </row>
    <row r="91" spans="1:12" ht="32.25" thickBot="1" x14ac:dyDescent="0.25">
      <c r="A91" s="166" t="s">
        <v>65</v>
      </c>
      <c r="B91" s="167" t="s">
        <v>66</v>
      </c>
      <c r="C91" s="190" t="s">
        <v>239</v>
      </c>
      <c r="D91" s="168" t="s">
        <v>227</v>
      </c>
      <c r="E91" s="168" t="s">
        <v>67</v>
      </c>
      <c r="F91" s="169" t="s">
        <v>300</v>
      </c>
      <c r="G91" s="98"/>
      <c r="L91" s="381"/>
    </row>
    <row r="92" spans="1:12" x14ac:dyDescent="0.2">
      <c r="A92" s="251" t="s">
        <v>68</v>
      </c>
      <c r="B92" s="37" t="s">
        <v>9</v>
      </c>
      <c r="C92" s="191">
        <v>12</v>
      </c>
      <c r="D92" s="170">
        <v>98.4</v>
      </c>
      <c r="E92" s="171">
        <f>IFERROR(D92/C92,0)</f>
        <v>8.2000000000000011</v>
      </c>
      <c r="F92" s="259"/>
      <c r="H92" s="377"/>
      <c r="I92" s="362"/>
      <c r="J92" s="363"/>
      <c r="K92" s="363"/>
      <c r="L92" s="381"/>
    </row>
    <row r="93" spans="1:12" x14ac:dyDescent="0.2">
      <c r="A93" s="31" t="s">
        <v>29</v>
      </c>
      <c r="B93" s="25" t="s">
        <v>9</v>
      </c>
      <c r="C93" s="191">
        <v>2</v>
      </c>
      <c r="D93" s="170">
        <v>50.42</v>
      </c>
      <c r="E93" s="171">
        <f t="shared" ref="E93:E97" si="1">IFERROR(D93/C93,0)</f>
        <v>25.21</v>
      </c>
      <c r="F93" s="260"/>
      <c r="H93" s="377"/>
      <c r="I93" s="362"/>
      <c r="J93" s="363"/>
      <c r="K93" s="363"/>
      <c r="L93" s="381"/>
    </row>
    <row r="94" spans="1:12" x14ac:dyDescent="0.2">
      <c r="A94" s="31" t="s">
        <v>30</v>
      </c>
      <c r="B94" s="25" t="s">
        <v>9</v>
      </c>
      <c r="C94" s="191">
        <v>2</v>
      </c>
      <c r="D94" s="170">
        <v>22.4</v>
      </c>
      <c r="E94" s="171">
        <f t="shared" si="1"/>
        <v>11.2</v>
      </c>
      <c r="F94" s="260"/>
      <c r="H94" s="377"/>
      <c r="I94" s="362"/>
      <c r="J94" s="363"/>
      <c r="K94" s="363"/>
      <c r="L94" s="381"/>
    </row>
    <row r="95" spans="1:12" x14ac:dyDescent="0.2">
      <c r="A95" s="31" t="s">
        <v>70</v>
      </c>
      <c r="B95" s="25" t="s">
        <v>49</v>
      </c>
      <c r="C95" s="191">
        <v>2</v>
      </c>
      <c r="D95" s="170">
        <v>65.290000000000006</v>
      </c>
      <c r="E95" s="171">
        <f t="shared" si="1"/>
        <v>32.645000000000003</v>
      </c>
      <c r="F95" s="260"/>
      <c r="H95" s="377"/>
      <c r="I95" s="362"/>
      <c r="J95" s="363"/>
      <c r="K95" s="363"/>
      <c r="L95" s="381"/>
    </row>
    <row r="96" spans="1:12" x14ac:dyDescent="0.2">
      <c r="A96" s="31" t="s">
        <v>69</v>
      </c>
      <c r="B96" s="25" t="s">
        <v>9</v>
      </c>
      <c r="C96" s="191">
        <v>2</v>
      </c>
      <c r="D96" s="170">
        <v>20.66</v>
      </c>
      <c r="E96" s="171">
        <f t="shared" si="1"/>
        <v>10.33</v>
      </c>
      <c r="F96" s="260"/>
      <c r="H96" s="377"/>
      <c r="I96" s="362"/>
      <c r="J96" s="363"/>
      <c r="K96" s="363"/>
      <c r="L96" s="381"/>
    </row>
    <row r="97" spans="1:12" x14ac:dyDescent="0.2">
      <c r="A97" s="31" t="s">
        <v>64</v>
      </c>
      <c r="B97" s="25" t="s">
        <v>50</v>
      </c>
      <c r="C97" s="191">
        <v>1</v>
      </c>
      <c r="D97" s="170">
        <v>24.44</v>
      </c>
      <c r="E97" s="171">
        <f t="shared" si="1"/>
        <v>24.44</v>
      </c>
      <c r="F97" s="260"/>
      <c r="H97" s="377"/>
      <c r="I97" s="362"/>
      <c r="J97" s="363"/>
      <c r="K97" s="363"/>
      <c r="L97" s="381"/>
    </row>
    <row r="98" spans="1:12" x14ac:dyDescent="0.2">
      <c r="A98" s="31" t="s">
        <v>193</v>
      </c>
      <c r="B98" s="25" t="s">
        <v>120</v>
      </c>
      <c r="C98" s="192">
        <v>1</v>
      </c>
      <c r="D98" s="170">
        <v>82.46</v>
      </c>
      <c r="E98" s="173">
        <f t="shared" ref="E98:E99" si="2">C98*D98</f>
        <v>82.46</v>
      </c>
      <c r="F98" s="260"/>
      <c r="H98" s="377"/>
      <c r="I98" s="362"/>
      <c r="J98" s="363"/>
      <c r="K98" s="363"/>
      <c r="L98" s="381"/>
    </row>
    <row r="99" spans="1:12" x14ac:dyDescent="0.2">
      <c r="A99" s="253" t="s">
        <v>4</v>
      </c>
      <c r="B99" s="254" t="s">
        <v>5</v>
      </c>
      <c r="C99" s="304">
        <f>E41</f>
        <v>1</v>
      </c>
      <c r="D99" s="305">
        <f>+SUM(E92:E98)</f>
        <v>194.48499999999999</v>
      </c>
      <c r="E99" s="305">
        <f t="shared" si="2"/>
        <v>194.48499999999999</v>
      </c>
      <c r="F99" s="260"/>
      <c r="G99" s="98"/>
      <c r="L99" s="381"/>
    </row>
    <row r="100" spans="1:12" ht="16.5" thickBot="1" x14ac:dyDescent="0.25">
      <c r="A100" s="556" t="str">
        <f>F91</f>
        <v>Total (R$)</v>
      </c>
      <c r="B100" s="557"/>
      <c r="C100" s="557"/>
      <c r="D100" s="257" t="s">
        <v>301</v>
      </c>
      <c r="E100" s="349">
        <f>$B$48</f>
        <v>0.5181</v>
      </c>
      <c r="F100" s="211">
        <f>E99*E100</f>
        <v>100.76267849999999</v>
      </c>
      <c r="G100" s="98"/>
      <c r="L100" s="381"/>
    </row>
    <row r="101" spans="1:12" ht="11.25" customHeight="1" thickBot="1" x14ac:dyDescent="0.25">
      <c r="G101" s="98"/>
      <c r="L101" s="381"/>
    </row>
    <row r="102" spans="1:12" ht="16.5" thickBot="1" x14ac:dyDescent="0.25">
      <c r="A102" s="528" t="s">
        <v>194</v>
      </c>
      <c r="B102" s="529"/>
      <c r="C102" s="529"/>
      <c r="D102" s="529"/>
      <c r="E102" s="529"/>
      <c r="F102" s="178">
        <f>F100</f>
        <v>100.76267849999999</v>
      </c>
      <c r="G102" s="98"/>
      <c r="L102" s="381"/>
    </row>
    <row r="103" spans="1:12" ht="11.25" customHeight="1" x14ac:dyDescent="0.2">
      <c r="G103" s="98"/>
      <c r="L103" s="381"/>
    </row>
    <row r="104" spans="1:12" x14ac:dyDescent="0.2">
      <c r="A104" s="107" t="s">
        <v>55</v>
      </c>
      <c r="G104" s="98"/>
      <c r="L104" s="381"/>
    </row>
    <row r="105" spans="1:12" ht="11.25" customHeight="1" x14ac:dyDescent="0.2">
      <c r="B105" s="193"/>
      <c r="G105" s="98"/>
      <c r="L105" s="381"/>
    </row>
    <row r="106" spans="1:12" x14ac:dyDescent="0.2">
      <c r="A106" s="212" t="s">
        <v>514</v>
      </c>
      <c r="G106" s="98"/>
      <c r="L106" s="381"/>
    </row>
    <row r="107" spans="1:12" ht="11.25" customHeight="1" x14ac:dyDescent="0.2">
      <c r="G107" s="98"/>
      <c r="L107" s="381"/>
    </row>
    <row r="108" spans="1:12" ht="16.5" thickBot="1" x14ac:dyDescent="0.25">
      <c r="A108" s="221" t="s">
        <v>515</v>
      </c>
      <c r="G108" s="98"/>
      <c r="L108" s="381"/>
    </row>
    <row r="109" spans="1:12" ht="16.5" thickBot="1" x14ac:dyDescent="0.25">
      <c r="A109" s="166" t="s">
        <v>65</v>
      </c>
      <c r="B109" s="167" t="s">
        <v>66</v>
      </c>
      <c r="C109" s="167" t="s">
        <v>41</v>
      </c>
      <c r="D109" s="168" t="s">
        <v>227</v>
      </c>
      <c r="E109" s="168" t="s">
        <v>67</v>
      </c>
      <c r="F109" s="169" t="s">
        <v>300</v>
      </c>
      <c r="G109" s="98"/>
      <c r="L109" s="381"/>
    </row>
    <row r="110" spans="1:12" x14ac:dyDescent="0.2">
      <c r="A110" s="251" t="s">
        <v>456</v>
      </c>
      <c r="B110" s="37" t="s">
        <v>9</v>
      </c>
      <c r="C110" s="37">
        <v>1</v>
      </c>
      <c r="D110" s="170">
        <v>652968</v>
      </c>
      <c r="E110" s="215">
        <f>C110*D110</f>
        <v>652968</v>
      </c>
      <c r="F110" s="259"/>
      <c r="H110" s="377"/>
      <c r="I110" s="362"/>
      <c r="J110" s="363"/>
      <c r="K110" s="363"/>
      <c r="L110" s="381"/>
    </row>
    <row r="111" spans="1:12" x14ac:dyDescent="0.2">
      <c r="A111" s="31" t="s">
        <v>457</v>
      </c>
      <c r="B111" s="25" t="s">
        <v>102</v>
      </c>
      <c r="C111" s="30">
        <v>3</v>
      </c>
      <c r="D111" s="174"/>
      <c r="E111" s="214"/>
      <c r="F111" s="260"/>
      <c r="G111" s="98"/>
      <c r="L111" s="381"/>
    </row>
    <row r="112" spans="1:12" x14ac:dyDescent="0.2">
      <c r="A112" s="31" t="s">
        <v>458</v>
      </c>
      <c r="B112" s="25" t="s">
        <v>102</v>
      </c>
      <c r="C112" s="30"/>
      <c r="D112" s="173"/>
      <c r="E112" s="214"/>
      <c r="F112" s="273"/>
      <c r="I112" s="194"/>
      <c r="J112" s="194"/>
      <c r="K112" s="194"/>
      <c r="L112" s="381"/>
    </row>
    <row r="113" spans="1:12" x14ac:dyDescent="0.2">
      <c r="A113" s="31" t="s">
        <v>459</v>
      </c>
      <c r="B113" s="25" t="s">
        <v>2</v>
      </c>
      <c r="C113" s="176">
        <f>SUM('5. Depreciação'!B5)</f>
        <v>48.68</v>
      </c>
      <c r="D113" s="173">
        <f>E110</f>
        <v>652968</v>
      </c>
      <c r="E113" s="214">
        <f>C113*D113/100</f>
        <v>317864.8224</v>
      </c>
      <c r="F113" s="260"/>
      <c r="L113" s="381"/>
    </row>
    <row r="114" spans="1:12" ht="16.5" thickBot="1" x14ac:dyDescent="0.25">
      <c r="A114" s="274" t="s">
        <v>460</v>
      </c>
      <c r="B114" s="195" t="s">
        <v>7</v>
      </c>
      <c r="C114" s="195">
        <f>C111*12</f>
        <v>36</v>
      </c>
      <c r="D114" s="196">
        <f>IF(C112&lt;=C111,E113,0)</f>
        <v>317864.8224</v>
      </c>
      <c r="E114" s="222">
        <f>IFERROR(D114/C114,0)</f>
        <v>8829.5784000000003</v>
      </c>
      <c r="F114" s="260"/>
      <c r="L114" s="381"/>
    </row>
    <row r="115" spans="1:12" ht="16.5" thickTop="1" x14ac:dyDescent="0.2">
      <c r="A115" s="251" t="s">
        <v>312</v>
      </c>
      <c r="B115" s="37" t="s">
        <v>9</v>
      </c>
      <c r="C115" s="37">
        <v>2</v>
      </c>
      <c r="D115" s="170">
        <v>63350</v>
      </c>
      <c r="E115" s="215">
        <f>C115*D115</f>
        <v>126700</v>
      </c>
      <c r="F115" s="260"/>
      <c r="H115" s="377"/>
      <c r="I115" s="362"/>
      <c r="J115" s="363"/>
      <c r="K115" s="363"/>
      <c r="L115" s="381"/>
    </row>
    <row r="116" spans="1:12" x14ac:dyDescent="0.2">
      <c r="A116" s="31" t="s">
        <v>313</v>
      </c>
      <c r="B116" s="25" t="s">
        <v>102</v>
      </c>
      <c r="C116" s="30">
        <v>3</v>
      </c>
      <c r="D116" s="174"/>
      <c r="E116" s="214"/>
      <c r="F116" s="260"/>
      <c r="L116" s="381"/>
    </row>
    <row r="117" spans="1:12" x14ac:dyDescent="0.2">
      <c r="A117" s="31" t="s">
        <v>314</v>
      </c>
      <c r="B117" s="25" t="s">
        <v>102</v>
      </c>
      <c r="C117" s="30"/>
      <c r="D117" s="173"/>
      <c r="E117" s="214"/>
      <c r="F117" s="273"/>
      <c r="I117" s="194"/>
      <c r="J117" s="194"/>
      <c r="K117" s="194"/>
      <c r="L117" s="381"/>
    </row>
    <row r="118" spans="1:12" x14ac:dyDescent="0.2">
      <c r="A118" s="31" t="s">
        <v>315</v>
      </c>
      <c r="B118" s="25" t="s">
        <v>2</v>
      </c>
      <c r="C118" s="176">
        <f>SUM(C113)</f>
        <v>48.68</v>
      </c>
      <c r="D118" s="173">
        <f>E115</f>
        <v>126700</v>
      </c>
      <c r="E118" s="214">
        <f>C118*D118/100</f>
        <v>61677.56</v>
      </c>
      <c r="F118" s="260"/>
      <c r="L118" s="381"/>
    </row>
    <row r="119" spans="1:12" ht="16.5" thickBot="1" x14ac:dyDescent="0.25">
      <c r="A119" s="274" t="s">
        <v>316</v>
      </c>
      <c r="B119" s="195" t="s">
        <v>7</v>
      </c>
      <c r="C119" s="195">
        <f>C116*12</f>
        <v>36</v>
      </c>
      <c r="D119" s="196">
        <f>IF(C117&lt;=C116,E118,0)</f>
        <v>61677.56</v>
      </c>
      <c r="E119" s="222">
        <f>IFERROR(D119/C119,0)</f>
        <v>1713.2655555555555</v>
      </c>
      <c r="F119" s="260"/>
      <c r="L119" s="381"/>
    </row>
    <row r="120" spans="1:12" ht="16.5" thickTop="1" x14ac:dyDescent="0.2">
      <c r="A120" s="439" t="s">
        <v>461</v>
      </c>
      <c r="B120" s="440" t="s">
        <v>9</v>
      </c>
      <c r="C120" s="440">
        <v>1</v>
      </c>
      <c r="D120" s="441">
        <v>125000</v>
      </c>
      <c r="E120" s="442">
        <f>C120*D120</f>
        <v>125000</v>
      </c>
      <c r="F120" s="260"/>
      <c r="L120" s="381"/>
    </row>
    <row r="121" spans="1:12" x14ac:dyDescent="0.2">
      <c r="A121" s="31" t="s">
        <v>462</v>
      </c>
      <c r="B121" s="25" t="s">
        <v>102</v>
      </c>
      <c r="C121" s="30">
        <v>3</v>
      </c>
      <c r="D121" s="173"/>
      <c r="E121" s="214"/>
      <c r="F121" s="260"/>
      <c r="L121" s="381"/>
    </row>
    <row r="122" spans="1:12" x14ac:dyDescent="0.2">
      <c r="A122" s="31" t="s">
        <v>463</v>
      </c>
      <c r="B122" s="25" t="s">
        <v>102</v>
      </c>
      <c r="C122" s="30"/>
      <c r="D122" s="173"/>
      <c r="E122" s="214"/>
      <c r="F122" s="260"/>
      <c r="L122" s="381"/>
    </row>
    <row r="123" spans="1:12" x14ac:dyDescent="0.2">
      <c r="A123" s="31" t="s">
        <v>464</v>
      </c>
      <c r="B123" s="25" t="s">
        <v>2</v>
      </c>
      <c r="C123" s="176">
        <f>SUM(C118)</f>
        <v>48.68</v>
      </c>
      <c r="D123" s="173">
        <f>E120</f>
        <v>125000</v>
      </c>
      <c r="E123" s="214">
        <f>C123*D123/100</f>
        <v>60850</v>
      </c>
      <c r="F123" s="260"/>
      <c r="L123" s="381"/>
    </row>
    <row r="124" spans="1:12" ht="16.5" thickBot="1" x14ac:dyDescent="0.25">
      <c r="A124" s="275" t="s">
        <v>465</v>
      </c>
      <c r="B124" s="120" t="s">
        <v>7</v>
      </c>
      <c r="C124" s="120">
        <f>C121*12</f>
        <v>36</v>
      </c>
      <c r="D124" s="181">
        <f>IF(C122&lt;=C121,E123,0)</f>
        <v>60850</v>
      </c>
      <c r="E124" s="223">
        <f>IFERROR(D124/C124,0)</f>
        <v>1690.2777777777778</v>
      </c>
      <c r="F124" s="260"/>
      <c r="L124" s="381"/>
    </row>
    <row r="125" spans="1:12" ht="16.5" thickTop="1" x14ac:dyDescent="0.2">
      <c r="A125" s="439" t="s">
        <v>466</v>
      </c>
      <c r="B125" s="440" t="s">
        <v>9</v>
      </c>
      <c r="C125" s="440">
        <v>1</v>
      </c>
      <c r="D125" s="441">
        <v>157400</v>
      </c>
      <c r="E125" s="442">
        <f>C125*D125</f>
        <v>157400</v>
      </c>
      <c r="F125" s="260"/>
      <c r="L125" s="381"/>
    </row>
    <row r="126" spans="1:12" x14ac:dyDescent="0.2">
      <c r="A126" s="31" t="s">
        <v>467</v>
      </c>
      <c r="B126" s="25" t="s">
        <v>102</v>
      </c>
      <c r="C126" s="30">
        <v>3</v>
      </c>
      <c r="D126" s="173"/>
      <c r="E126" s="214"/>
      <c r="F126" s="260"/>
      <c r="L126" s="381"/>
    </row>
    <row r="127" spans="1:12" x14ac:dyDescent="0.2">
      <c r="A127" s="31" t="s">
        <v>468</v>
      </c>
      <c r="B127" s="25" t="s">
        <v>102</v>
      </c>
      <c r="C127" s="30"/>
      <c r="D127" s="173"/>
      <c r="E127" s="214"/>
      <c r="F127" s="260"/>
      <c r="L127" s="381"/>
    </row>
    <row r="128" spans="1:12" x14ac:dyDescent="0.2">
      <c r="A128" s="31" t="s">
        <v>469</v>
      </c>
      <c r="B128" s="25" t="s">
        <v>2</v>
      </c>
      <c r="C128" s="176">
        <f>SUM(C123)</f>
        <v>48.68</v>
      </c>
      <c r="D128" s="173">
        <f>E125</f>
        <v>157400</v>
      </c>
      <c r="E128" s="214">
        <f>C128*D128/100</f>
        <v>76622.320000000007</v>
      </c>
      <c r="F128" s="260"/>
      <c r="L128" s="381"/>
    </row>
    <row r="129" spans="1:12" x14ac:dyDescent="0.2">
      <c r="A129" s="275" t="s">
        <v>470</v>
      </c>
      <c r="B129" s="120" t="s">
        <v>7</v>
      </c>
      <c r="C129" s="120">
        <f>C126*12</f>
        <v>36</v>
      </c>
      <c r="D129" s="181">
        <f>IF(C127&lt;=C126,E128,0)</f>
        <v>76622.320000000007</v>
      </c>
      <c r="E129" s="223">
        <f>IFERROR(D129/C129,0)</f>
        <v>2128.3977777777782</v>
      </c>
      <c r="F129" s="260"/>
      <c r="L129" s="381"/>
    </row>
    <row r="130" spans="1:12" x14ac:dyDescent="0.2">
      <c r="A130" s="276" t="s">
        <v>242</v>
      </c>
      <c r="B130" s="277"/>
      <c r="C130" s="277"/>
      <c r="D130" s="278"/>
      <c r="E130" s="224">
        <f>E114+E119+E124+E129</f>
        <v>14361.519511111112</v>
      </c>
      <c r="F130" s="260"/>
      <c r="L130" s="381"/>
    </row>
    <row r="131" spans="1:12" x14ac:dyDescent="0.2">
      <c r="A131" s="275" t="s">
        <v>243</v>
      </c>
      <c r="B131" s="120" t="s">
        <v>9</v>
      </c>
      <c r="C131" s="30">
        <v>1</v>
      </c>
      <c r="D131" s="181">
        <f>E130</f>
        <v>14361.519511111112</v>
      </c>
      <c r="E131" s="224">
        <f>C131*D131</f>
        <v>14361.519511111112</v>
      </c>
      <c r="F131" s="260"/>
      <c r="L131" s="381"/>
    </row>
    <row r="132" spans="1:12" ht="16.5" thickBot="1" x14ac:dyDescent="0.25">
      <c r="A132" s="506" t="str">
        <f>F109</f>
        <v>Total (R$)</v>
      </c>
      <c r="B132" s="507"/>
      <c r="C132" s="508"/>
      <c r="D132" s="257" t="s">
        <v>301</v>
      </c>
      <c r="E132" s="350">
        <f>$B$48</f>
        <v>0.5181</v>
      </c>
      <c r="F132" s="211">
        <f>(E131*E132)*1.08</f>
        <v>8035.9595194032008</v>
      </c>
      <c r="L132" s="381"/>
    </row>
    <row r="133" spans="1:12" ht="11.25" customHeight="1" x14ac:dyDescent="0.2">
      <c r="L133" s="381"/>
    </row>
    <row r="134" spans="1:12" ht="16.5" thickBot="1" x14ac:dyDescent="0.25">
      <c r="A134" s="221" t="s">
        <v>516</v>
      </c>
      <c r="L134" s="381"/>
    </row>
    <row r="135" spans="1:12" ht="16.5" thickBot="1" x14ac:dyDescent="0.25">
      <c r="A135" s="166" t="s">
        <v>65</v>
      </c>
      <c r="B135" s="167" t="s">
        <v>66</v>
      </c>
      <c r="C135" s="167" t="s">
        <v>41</v>
      </c>
      <c r="D135" s="168" t="s">
        <v>227</v>
      </c>
      <c r="E135" s="168" t="s">
        <v>67</v>
      </c>
      <c r="F135" s="169" t="s">
        <v>300</v>
      </c>
      <c r="I135" s="194"/>
      <c r="J135" s="194"/>
      <c r="K135" s="194"/>
      <c r="L135" s="381"/>
    </row>
    <row r="136" spans="1:12" x14ac:dyDescent="0.2">
      <c r="A136" s="251" t="s">
        <v>471</v>
      </c>
      <c r="B136" s="37" t="s">
        <v>9</v>
      </c>
      <c r="C136" s="37">
        <v>1</v>
      </c>
      <c r="D136" s="171">
        <f>D110</f>
        <v>652968</v>
      </c>
      <c r="E136" s="215">
        <f>C136*D136</f>
        <v>652968</v>
      </c>
      <c r="F136" s="279"/>
      <c r="I136" s="194"/>
      <c r="J136" s="194"/>
      <c r="K136" s="194"/>
      <c r="L136" s="381"/>
    </row>
    <row r="137" spans="1:12" x14ac:dyDescent="0.2">
      <c r="A137" s="31" t="s">
        <v>205</v>
      </c>
      <c r="B137" s="25" t="s">
        <v>2</v>
      </c>
      <c r="C137" s="30">
        <v>13.75</v>
      </c>
      <c r="D137" s="173"/>
      <c r="E137" s="214"/>
      <c r="F137" s="273"/>
      <c r="I137" s="194"/>
      <c r="J137" s="194"/>
      <c r="K137" s="194"/>
      <c r="L137" s="381"/>
    </row>
    <row r="138" spans="1:12" x14ac:dyDescent="0.2">
      <c r="A138" s="31" t="s">
        <v>324</v>
      </c>
      <c r="B138" s="25" t="s">
        <v>34</v>
      </c>
      <c r="C138" s="198">
        <f>IFERROR(IF(C112&lt;=C111,E110-(C113/(100*C111)*C112)*E110,E110-E113),0)</f>
        <v>652968</v>
      </c>
      <c r="D138" s="173"/>
      <c r="E138" s="214"/>
      <c r="F138" s="273"/>
      <c r="H138" s="194"/>
      <c r="I138" s="194"/>
      <c r="J138" s="194"/>
      <c r="K138" s="194"/>
      <c r="L138" s="381"/>
    </row>
    <row r="139" spans="1:12" x14ac:dyDescent="0.2">
      <c r="A139" s="31" t="s">
        <v>472</v>
      </c>
      <c r="B139" s="25" t="s">
        <v>34</v>
      </c>
      <c r="C139" s="174">
        <f>IFERROR(IF(C117&gt;=C116,C138,((((C138)-(E115-E118))*(((C116-C117)+1)/(2*(C116-C117))))+(E115-E118))),0)</f>
        <v>456986.14666666667</v>
      </c>
      <c r="D139" s="173"/>
      <c r="E139" s="214"/>
      <c r="F139" s="273"/>
      <c r="H139" s="194"/>
      <c r="I139" s="194"/>
      <c r="J139" s="194"/>
      <c r="K139" s="194"/>
      <c r="L139" s="381"/>
    </row>
    <row r="140" spans="1:12" ht="16.5" thickBot="1" x14ac:dyDescent="0.25">
      <c r="A140" s="274" t="s">
        <v>473</v>
      </c>
      <c r="B140" s="195" t="s">
        <v>34</v>
      </c>
      <c r="C140" s="195"/>
      <c r="D140" s="199">
        <f>C137*C139/12/100</f>
        <v>5236.2995972222225</v>
      </c>
      <c r="E140" s="222">
        <f>D140</f>
        <v>5236.2995972222225</v>
      </c>
      <c r="F140" s="273"/>
      <c r="I140" s="194"/>
      <c r="J140" s="194"/>
      <c r="K140" s="194"/>
      <c r="L140" s="381"/>
    </row>
    <row r="141" spans="1:12" ht="16.5" thickTop="1" x14ac:dyDescent="0.2">
      <c r="A141" s="251" t="s">
        <v>323</v>
      </c>
      <c r="B141" s="37" t="s">
        <v>9</v>
      </c>
      <c r="C141" s="37">
        <v>2</v>
      </c>
      <c r="D141" s="171">
        <f>SUM(D115)</f>
        <v>63350</v>
      </c>
      <c r="E141" s="215">
        <f>C141*D141</f>
        <v>126700</v>
      </c>
      <c r="F141" s="273"/>
      <c r="I141" s="194"/>
      <c r="J141" s="194"/>
      <c r="K141" s="194"/>
      <c r="L141" s="381"/>
    </row>
    <row r="142" spans="1:12" x14ac:dyDescent="0.2">
      <c r="A142" s="31" t="s">
        <v>205</v>
      </c>
      <c r="B142" s="25" t="s">
        <v>2</v>
      </c>
      <c r="C142" s="30">
        <f>SUM(C137)</f>
        <v>13.75</v>
      </c>
      <c r="D142" s="173"/>
      <c r="E142" s="214"/>
      <c r="F142" s="273"/>
      <c r="I142" s="194"/>
      <c r="J142" s="194"/>
      <c r="K142" s="194"/>
      <c r="L142" s="381"/>
    </row>
    <row r="143" spans="1:12" x14ac:dyDescent="0.2">
      <c r="A143" s="31" t="s">
        <v>324</v>
      </c>
      <c r="B143" s="25" t="s">
        <v>34</v>
      </c>
      <c r="C143" s="198">
        <f>IFERROR(IF(C117&lt;=C116,E115-(C118/(100*C116)*C117)*C115,C115-E118),0)</f>
        <v>126700</v>
      </c>
      <c r="D143" s="173"/>
      <c r="E143" s="214"/>
      <c r="F143" s="273"/>
      <c r="I143" s="194"/>
      <c r="J143" s="194"/>
      <c r="K143" s="194"/>
      <c r="L143" s="381"/>
    </row>
    <row r="144" spans="1:12" x14ac:dyDescent="0.2">
      <c r="A144" s="31" t="s">
        <v>325</v>
      </c>
      <c r="B144" s="25" t="s">
        <v>34</v>
      </c>
      <c r="C144" s="174">
        <f>IFERROR(IF(C127&gt;=C126,C143,((((C143)-(E125-E128))*(((C126-C127)+1)/(2*(C126-C127))))+(E125-E128))),0)</f>
        <v>111392.56</v>
      </c>
      <c r="D144" s="173"/>
      <c r="E144" s="214"/>
      <c r="F144" s="273"/>
      <c r="I144" s="194"/>
      <c r="J144" s="194"/>
      <c r="K144" s="194"/>
      <c r="L144" s="381"/>
    </row>
    <row r="145" spans="1:12" ht="16.5" thickBot="1" x14ac:dyDescent="0.25">
      <c r="A145" s="274" t="s">
        <v>114</v>
      </c>
      <c r="B145" s="195" t="s">
        <v>34</v>
      </c>
      <c r="C145" s="195"/>
      <c r="D145" s="199">
        <f>C142*C144/12/100</f>
        <v>1276.3730833333334</v>
      </c>
      <c r="E145" s="222">
        <f>D145</f>
        <v>1276.3730833333334</v>
      </c>
      <c r="F145" s="273"/>
      <c r="I145" s="194"/>
      <c r="J145" s="194"/>
      <c r="K145" s="194"/>
      <c r="L145" s="381"/>
    </row>
    <row r="146" spans="1:12" ht="16.5" thickTop="1" x14ac:dyDescent="0.2">
      <c r="A146" s="439" t="s">
        <v>461</v>
      </c>
      <c r="B146" s="440" t="s">
        <v>9</v>
      </c>
      <c r="C146" s="440">
        <f>C125</f>
        <v>1</v>
      </c>
      <c r="D146" s="442">
        <v>65000</v>
      </c>
      <c r="E146" s="442">
        <f>C146*D146</f>
        <v>65000</v>
      </c>
      <c r="F146" s="273"/>
      <c r="I146" s="194"/>
      <c r="J146" s="194"/>
      <c r="K146" s="194"/>
      <c r="L146" s="381"/>
    </row>
    <row r="147" spans="1:12" x14ac:dyDescent="0.2">
      <c r="A147" s="31" t="s">
        <v>462</v>
      </c>
      <c r="B147" s="25" t="s">
        <v>2</v>
      </c>
      <c r="C147" s="30">
        <f>SUM(C137)</f>
        <v>13.75</v>
      </c>
      <c r="D147" s="173"/>
      <c r="E147" s="214"/>
      <c r="F147" s="273"/>
      <c r="I147" s="194"/>
      <c r="J147" s="194"/>
      <c r="K147" s="194"/>
      <c r="L147" s="381"/>
    </row>
    <row r="148" spans="1:12" x14ac:dyDescent="0.2">
      <c r="A148" s="31" t="s">
        <v>463</v>
      </c>
      <c r="B148" s="25" t="s">
        <v>34</v>
      </c>
      <c r="C148" s="198">
        <f>IFERROR(IF(C122&lt;=C121,E120-(C123/(100*C121)*C122)*E120,E120-E123),0)</f>
        <v>125000</v>
      </c>
      <c r="D148" s="173"/>
      <c r="E148" s="214"/>
      <c r="F148" s="273"/>
      <c r="I148" s="194"/>
      <c r="J148" s="194"/>
      <c r="K148" s="194"/>
      <c r="L148" s="381"/>
    </row>
    <row r="149" spans="1:12" x14ac:dyDescent="0.2">
      <c r="A149" s="31" t="s">
        <v>464</v>
      </c>
      <c r="B149" s="25" t="s">
        <v>34</v>
      </c>
      <c r="C149" s="174">
        <f>IFERROR(IF(C127&gt;=C126,C148,((((C148)-(E125-E128))*(((C126-C127)+1)/(2*(C126-C127))))+(E125-E128))),0)</f>
        <v>110259.22666666665</v>
      </c>
      <c r="D149" s="173"/>
      <c r="E149" s="214"/>
      <c r="F149" s="273"/>
      <c r="I149" s="194"/>
      <c r="J149" s="194"/>
      <c r="K149" s="194"/>
      <c r="L149" s="381"/>
    </row>
    <row r="150" spans="1:12" ht="16.5" thickBot="1" x14ac:dyDescent="0.25">
      <c r="A150" s="276" t="s">
        <v>465</v>
      </c>
      <c r="B150" s="452" t="s">
        <v>34</v>
      </c>
      <c r="C150" s="452"/>
      <c r="D150" s="453">
        <f>C147*C149/12/100</f>
        <v>1263.3869722222221</v>
      </c>
      <c r="E150" s="224">
        <f>D150</f>
        <v>1263.3869722222221</v>
      </c>
      <c r="F150" s="273"/>
      <c r="I150" s="194"/>
      <c r="J150" s="194"/>
      <c r="K150" s="194"/>
      <c r="L150" s="381"/>
    </row>
    <row r="151" spans="1:12" ht="16.5" thickTop="1" x14ac:dyDescent="0.2">
      <c r="A151" s="439" t="s">
        <v>466</v>
      </c>
      <c r="B151" s="440" t="s">
        <v>9</v>
      </c>
      <c r="C151" s="440">
        <f>C125</f>
        <v>1</v>
      </c>
      <c r="D151" s="442">
        <f>D125</f>
        <v>157400</v>
      </c>
      <c r="E151" s="442">
        <f>C151*D151</f>
        <v>157400</v>
      </c>
      <c r="F151" s="273"/>
      <c r="I151" s="194"/>
      <c r="J151" s="194"/>
      <c r="K151" s="194"/>
      <c r="L151" s="381"/>
    </row>
    <row r="152" spans="1:12" x14ac:dyDescent="0.2">
      <c r="A152" s="31" t="s">
        <v>205</v>
      </c>
      <c r="B152" s="25" t="s">
        <v>2</v>
      </c>
      <c r="C152" s="30">
        <f>C137</f>
        <v>13.75</v>
      </c>
      <c r="D152" s="173"/>
      <c r="E152" s="214"/>
      <c r="F152" s="273"/>
      <c r="I152" s="194"/>
      <c r="J152" s="194"/>
      <c r="K152" s="194"/>
      <c r="L152" s="381"/>
    </row>
    <row r="153" spans="1:12" x14ac:dyDescent="0.2">
      <c r="A153" s="31" t="s">
        <v>378</v>
      </c>
      <c r="B153" s="25" t="s">
        <v>34</v>
      </c>
      <c r="C153" s="198">
        <f>IFERROR(IF(C127&lt;=C126,E125-(C128/(100*C126)*C127)*E125,E125-E128),0)</f>
        <v>157400</v>
      </c>
      <c r="D153" s="173"/>
      <c r="E153" s="214"/>
      <c r="F153" s="273"/>
      <c r="I153" s="194"/>
      <c r="J153" s="194"/>
      <c r="K153" s="194"/>
      <c r="L153" s="381"/>
    </row>
    <row r="154" spans="1:12" x14ac:dyDescent="0.2">
      <c r="A154" s="31" t="s">
        <v>474</v>
      </c>
      <c r="B154" s="25" t="s">
        <v>34</v>
      </c>
      <c r="C154" s="174">
        <f>IFERROR(IF(C127&gt;=C126,C153,((((C153)-(E125-E128))*(((C126-C127)+1)/(2*(C126-C127))))+(E125-E128))),0)</f>
        <v>131859.22666666665</v>
      </c>
      <c r="D154" s="173"/>
      <c r="E154" s="214"/>
      <c r="F154" s="273"/>
      <c r="I154" s="194"/>
      <c r="J154" s="194"/>
      <c r="K154" s="194"/>
      <c r="L154" s="381"/>
    </row>
    <row r="155" spans="1:12" x14ac:dyDescent="0.2">
      <c r="A155" s="275" t="s">
        <v>475</v>
      </c>
      <c r="B155" s="120" t="s">
        <v>34</v>
      </c>
      <c r="C155" s="120"/>
      <c r="D155" s="200">
        <f>C152*C154/12/100</f>
        <v>1510.8869722222219</v>
      </c>
      <c r="E155" s="223">
        <f>D155</f>
        <v>1510.8869722222219</v>
      </c>
      <c r="F155" s="273"/>
      <c r="I155" s="194"/>
      <c r="J155" s="194"/>
      <c r="K155" s="194"/>
      <c r="L155" s="381"/>
    </row>
    <row r="156" spans="1:12" x14ac:dyDescent="0.2">
      <c r="A156" s="276" t="s">
        <v>322</v>
      </c>
      <c r="B156" s="277"/>
      <c r="C156" s="277"/>
      <c r="D156" s="278"/>
      <c r="E156" s="224">
        <f>E140+E145+E150+E155</f>
        <v>9286.9466250000005</v>
      </c>
      <c r="F156" s="273"/>
      <c r="I156" s="194"/>
      <c r="J156" s="194"/>
      <c r="K156" s="194"/>
      <c r="L156" s="381"/>
    </row>
    <row r="157" spans="1:12" x14ac:dyDescent="0.2">
      <c r="A157" s="275" t="str">
        <f>A131</f>
        <v>Total da frota</v>
      </c>
      <c r="B157" s="120" t="s">
        <v>9</v>
      </c>
      <c r="C157" s="25">
        <f>C131</f>
        <v>1</v>
      </c>
      <c r="D157" s="181">
        <f>E156</f>
        <v>9286.9466250000005</v>
      </c>
      <c r="E157" s="224">
        <f>C157*D157</f>
        <v>9286.9466250000005</v>
      </c>
      <c r="F157" s="273"/>
      <c r="I157" s="194"/>
      <c r="J157" s="194"/>
      <c r="K157" s="194"/>
      <c r="L157" s="381"/>
    </row>
    <row r="158" spans="1:12" ht="16.5" thickBot="1" x14ac:dyDescent="0.25">
      <c r="A158" s="509" t="str">
        <f>F135</f>
        <v>Total (R$)</v>
      </c>
      <c r="B158" s="497"/>
      <c r="C158" s="498"/>
      <c r="D158" s="257" t="s">
        <v>301</v>
      </c>
      <c r="E158" s="350">
        <f>$B$48</f>
        <v>0.5181</v>
      </c>
      <c r="F158" s="211">
        <f>(E157*E158)*1.08</f>
        <v>5196.492410125501</v>
      </c>
      <c r="I158" s="194"/>
      <c r="J158" s="194"/>
      <c r="K158" s="194"/>
      <c r="L158" s="381"/>
    </row>
    <row r="159" spans="1:12" ht="11.25" customHeight="1" x14ac:dyDescent="0.2">
      <c r="I159" s="194"/>
      <c r="J159" s="194"/>
      <c r="K159" s="194"/>
      <c r="L159" s="381"/>
    </row>
    <row r="160" spans="1:12" ht="16.5" thickBot="1" x14ac:dyDescent="0.25">
      <c r="A160" s="220" t="s">
        <v>517</v>
      </c>
      <c r="I160" s="194"/>
      <c r="J160" s="194"/>
      <c r="K160" s="194"/>
      <c r="L160" s="381"/>
    </row>
    <row r="161" spans="1:12" ht="16.5" thickBot="1" x14ac:dyDescent="0.25">
      <c r="A161" s="166" t="s">
        <v>65</v>
      </c>
      <c r="B161" s="167" t="s">
        <v>66</v>
      </c>
      <c r="C161" s="167" t="s">
        <v>41</v>
      </c>
      <c r="D161" s="168" t="s">
        <v>227</v>
      </c>
      <c r="E161" s="168" t="s">
        <v>67</v>
      </c>
      <c r="F161" s="169" t="s">
        <v>300</v>
      </c>
      <c r="I161" s="194"/>
      <c r="J161" s="194"/>
      <c r="K161" s="194"/>
      <c r="L161" s="381"/>
    </row>
    <row r="162" spans="1:12" x14ac:dyDescent="0.2">
      <c r="A162" s="251" t="s">
        <v>11</v>
      </c>
      <c r="B162" s="37" t="s">
        <v>9</v>
      </c>
      <c r="C162" s="171">
        <f>C110</f>
        <v>1</v>
      </c>
      <c r="D162" s="171">
        <v>3411.5954546442895</v>
      </c>
      <c r="E162" s="171">
        <f>C162*D162</f>
        <v>3411.5954546442895</v>
      </c>
      <c r="F162" s="259"/>
      <c r="H162" s="377"/>
      <c r="I162" s="362"/>
      <c r="J162" s="363"/>
      <c r="K162" s="363"/>
      <c r="L162" s="381"/>
    </row>
    <row r="163" spans="1:12" x14ac:dyDescent="0.2">
      <c r="A163" s="31" t="s">
        <v>192</v>
      </c>
      <c r="B163" s="25" t="s">
        <v>9</v>
      </c>
      <c r="C163" s="171">
        <v>2</v>
      </c>
      <c r="D163" s="185">
        <f>66.7+5.78</f>
        <v>72.48</v>
      </c>
      <c r="E163" s="173">
        <f>C163*D163</f>
        <v>144.96</v>
      </c>
      <c r="F163" s="260"/>
      <c r="H163" s="377"/>
      <c r="I163" s="362"/>
      <c r="J163" s="363"/>
      <c r="K163" s="363"/>
      <c r="L163" s="381"/>
    </row>
    <row r="164" spans="1:12" x14ac:dyDescent="0.2">
      <c r="A164" s="31" t="s">
        <v>12</v>
      </c>
      <c r="B164" s="25" t="s">
        <v>9</v>
      </c>
      <c r="C164" s="171">
        <v>2</v>
      </c>
      <c r="D164" s="185">
        <v>8475.8442230259952</v>
      </c>
      <c r="E164" s="173">
        <f>C164*D164</f>
        <v>16951.68844605199</v>
      </c>
      <c r="F164" s="280"/>
      <c r="H164" s="377"/>
      <c r="I164" s="362"/>
      <c r="J164" s="363"/>
      <c r="K164" s="363"/>
      <c r="L164" s="381"/>
    </row>
    <row r="165" spans="1:12" x14ac:dyDescent="0.2">
      <c r="A165" s="275" t="s">
        <v>13</v>
      </c>
      <c r="B165" s="120" t="s">
        <v>7</v>
      </c>
      <c r="C165" s="120">
        <v>12</v>
      </c>
      <c r="D165" s="181">
        <f>SUM(E162:E164)</f>
        <v>20508.243900696281</v>
      </c>
      <c r="E165" s="181">
        <f>D165/C165</f>
        <v>1709.0203250580234</v>
      </c>
      <c r="F165" s="260"/>
      <c r="I165" s="194"/>
      <c r="J165" s="194"/>
      <c r="K165" s="194"/>
      <c r="L165" s="381"/>
    </row>
    <row r="166" spans="1:12" ht="16.5" thickBot="1" x14ac:dyDescent="0.25">
      <c r="A166" s="509" t="str">
        <f>F161</f>
        <v>Total (R$)</v>
      </c>
      <c r="B166" s="497"/>
      <c r="C166" s="498"/>
      <c r="D166" s="257" t="s">
        <v>301</v>
      </c>
      <c r="E166" s="349">
        <f>$B$48</f>
        <v>0.5181</v>
      </c>
      <c r="F166" s="211">
        <f>E165*E166</f>
        <v>885.44343041256195</v>
      </c>
      <c r="I166" s="194"/>
      <c r="J166" s="194"/>
      <c r="K166" s="194"/>
      <c r="L166" s="381"/>
    </row>
    <row r="167" spans="1:12" ht="11.25" customHeight="1" x14ac:dyDescent="0.2">
      <c r="I167" s="194"/>
      <c r="J167" s="194"/>
      <c r="K167" s="194"/>
      <c r="L167" s="381"/>
    </row>
    <row r="168" spans="1:12" x14ac:dyDescent="0.2">
      <c r="A168" s="220" t="s">
        <v>518</v>
      </c>
      <c r="B168" s="201"/>
      <c r="I168" s="194"/>
      <c r="J168" s="194"/>
      <c r="K168" s="194"/>
      <c r="L168" s="381"/>
    </row>
    <row r="169" spans="1:12" ht="16.5" thickBot="1" x14ac:dyDescent="0.25">
      <c r="B169" s="201"/>
      <c r="I169" s="194"/>
      <c r="J169" s="194"/>
      <c r="K169" s="194"/>
      <c r="L169" s="381"/>
    </row>
    <row r="170" spans="1:12" ht="16.5" thickBot="1" x14ac:dyDescent="0.25">
      <c r="A170" s="186" t="s">
        <v>117</v>
      </c>
      <c r="B170" s="438">
        <v>3360</v>
      </c>
      <c r="I170" s="194"/>
      <c r="J170" s="194"/>
      <c r="K170" s="194"/>
      <c r="L170" s="381"/>
    </row>
    <row r="171" spans="1:12" ht="16.5" thickBot="1" x14ac:dyDescent="0.25">
      <c r="B171" s="201"/>
      <c r="I171" s="194"/>
      <c r="J171" s="194"/>
      <c r="K171" s="194"/>
      <c r="L171" s="381"/>
    </row>
    <row r="172" spans="1:12" ht="16.5" thickBot="1" x14ac:dyDescent="0.25">
      <c r="A172" s="166" t="s">
        <v>65</v>
      </c>
      <c r="B172" s="167" t="s">
        <v>66</v>
      </c>
      <c r="C172" s="167" t="s">
        <v>241</v>
      </c>
      <c r="D172" s="168" t="s">
        <v>227</v>
      </c>
      <c r="E172" s="168" t="s">
        <v>67</v>
      </c>
      <c r="F172" s="169" t="s">
        <v>300</v>
      </c>
      <c r="I172" s="194"/>
      <c r="J172" s="194"/>
      <c r="K172" s="194"/>
      <c r="L172" s="381"/>
    </row>
    <row r="173" spans="1:12" x14ac:dyDescent="0.2">
      <c r="A173" s="283" t="s">
        <v>14</v>
      </c>
      <c r="B173" s="226" t="s">
        <v>15</v>
      </c>
      <c r="C173" s="227">
        <v>1.7</v>
      </c>
      <c r="D173" s="378">
        <v>5.81</v>
      </c>
      <c r="E173" s="240"/>
      <c r="F173" s="259"/>
      <c r="H173" s="377"/>
      <c r="I173" s="362"/>
      <c r="J173" s="363"/>
      <c r="K173" s="363"/>
      <c r="L173" s="381"/>
    </row>
    <row r="174" spans="1:12" x14ac:dyDescent="0.2">
      <c r="A174" s="284" t="s">
        <v>16</v>
      </c>
      <c r="B174" s="231" t="s">
        <v>17</v>
      </c>
      <c r="C174" s="232">
        <f>SUM(B170)</f>
        <v>3360</v>
      </c>
      <c r="D174" s="233">
        <f>IFERROR(+D173/C173,"-")</f>
        <v>3.4176470588235293</v>
      </c>
      <c r="E174" s="241">
        <f>IFERROR(C174*D174,"-")</f>
        <v>11483.294117647058</v>
      </c>
      <c r="F174" s="260"/>
      <c r="G174" s="364"/>
      <c r="I174" s="194"/>
      <c r="J174" s="194"/>
      <c r="K174" s="194"/>
      <c r="L174" s="381"/>
    </row>
    <row r="175" spans="1:12" x14ac:dyDescent="0.2">
      <c r="A175" s="70" t="s">
        <v>228</v>
      </c>
      <c r="B175" s="237" t="s">
        <v>18</v>
      </c>
      <c r="C175" s="238">
        <v>6</v>
      </c>
      <c r="D175" s="239">
        <v>34.145729622673869</v>
      </c>
      <c r="E175" s="242"/>
      <c r="F175" s="260"/>
      <c r="H175" s="377"/>
      <c r="I175" s="362"/>
      <c r="J175" s="363"/>
      <c r="K175" s="363"/>
      <c r="L175" s="381"/>
    </row>
    <row r="176" spans="1:12" x14ac:dyDescent="0.2">
      <c r="A176" s="69" t="s">
        <v>19</v>
      </c>
      <c r="B176" s="228" t="s">
        <v>17</v>
      </c>
      <c r="C176" s="229">
        <f>C174</f>
        <v>3360</v>
      </c>
      <c r="D176" s="230">
        <f>+C175*D175/1000</f>
        <v>0.20487437773604322</v>
      </c>
      <c r="E176" s="243">
        <f>C176*D176</f>
        <v>688.37790919310521</v>
      </c>
      <c r="F176" s="260"/>
      <c r="G176" s="365"/>
      <c r="I176" s="194"/>
      <c r="J176" s="194"/>
      <c r="K176" s="194"/>
      <c r="L176" s="381"/>
    </row>
    <row r="177" spans="1:12" x14ac:dyDescent="0.2">
      <c r="A177" s="285" t="s">
        <v>229</v>
      </c>
      <c r="B177" s="234" t="s">
        <v>18</v>
      </c>
      <c r="C177" s="235">
        <v>6.5</v>
      </c>
      <c r="D177" s="236">
        <v>64.057388772136164</v>
      </c>
      <c r="E177" s="244"/>
      <c r="F177" s="260"/>
      <c r="H177" s="377"/>
      <c r="I177" s="362"/>
      <c r="J177" s="363"/>
      <c r="K177" s="363"/>
      <c r="L177" s="381"/>
    </row>
    <row r="178" spans="1:12" x14ac:dyDescent="0.2">
      <c r="A178" s="69" t="s">
        <v>20</v>
      </c>
      <c r="B178" s="228" t="s">
        <v>17</v>
      </c>
      <c r="C178" s="229">
        <f>C174</f>
        <v>3360</v>
      </c>
      <c r="D178" s="230">
        <f>+C177*D177/1000</f>
        <v>0.41637302701888507</v>
      </c>
      <c r="E178" s="243">
        <f>C178*D178</f>
        <v>1399.0133707834539</v>
      </c>
      <c r="F178" s="260"/>
      <c r="G178" s="365"/>
      <c r="I178" s="194"/>
      <c r="J178" s="194"/>
      <c r="K178" s="194"/>
      <c r="L178" s="381"/>
    </row>
    <row r="179" spans="1:12" x14ac:dyDescent="0.2">
      <c r="A179" s="70" t="s">
        <v>230</v>
      </c>
      <c r="B179" s="237" t="s">
        <v>18</v>
      </c>
      <c r="C179" s="238">
        <v>10</v>
      </c>
      <c r="D179" s="239">
        <v>11.404673693973072</v>
      </c>
      <c r="E179" s="242"/>
      <c r="F179" s="260"/>
      <c r="H179" s="377"/>
      <c r="I179" s="362"/>
      <c r="J179" s="363"/>
      <c r="K179" s="363"/>
      <c r="L179" s="381"/>
    </row>
    <row r="180" spans="1:12" x14ac:dyDescent="0.2">
      <c r="A180" s="69" t="s">
        <v>21</v>
      </c>
      <c r="B180" s="228" t="s">
        <v>17</v>
      </c>
      <c r="C180" s="229">
        <f>C174</f>
        <v>3360</v>
      </c>
      <c r="D180" s="230">
        <f>+C179*D179/1000</f>
        <v>0.11404673693973072</v>
      </c>
      <c r="E180" s="243">
        <f>C180*D180</f>
        <v>383.1970361174952</v>
      </c>
      <c r="F180" s="260"/>
      <c r="G180" s="365"/>
      <c r="I180" s="194"/>
      <c r="J180" s="194"/>
      <c r="K180" s="194"/>
      <c r="L180" s="381"/>
    </row>
    <row r="181" spans="1:12" x14ac:dyDescent="0.2">
      <c r="A181" s="70" t="s">
        <v>22</v>
      </c>
      <c r="B181" s="237" t="s">
        <v>23</v>
      </c>
      <c r="C181" s="238">
        <v>2</v>
      </c>
      <c r="D181" s="239">
        <v>27.180000779648395</v>
      </c>
      <c r="E181" s="242"/>
      <c r="F181" s="260"/>
      <c r="H181" s="377"/>
      <c r="I181" s="362"/>
      <c r="J181" s="363"/>
      <c r="K181" s="363"/>
      <c r="L181" s="381"/>
    </row>
    <row r="182" spans="1:12" x14ac:dyDescent="0.2">
      <c r="A182" s="69" t="s">
        <v>24</v>
      </c>
      <c r="B182" s="228" t="s">
        <v>17</v>
      </c>
      <c r="C182" s="229">
        <f>C174</f>
        <v>3360</v>
      </c>
      <c r="D182" s="230">
        <f>+C181*D181/1000</f>
        <v>5.4360001559296788E-2</v>
      </c>
      <c r="E182" s="243">
        <f>C182*D182</f>
        <v>182.64960523923722</v>
      </c>
      <c r="F182" s="260"/>
      <c r="G182" s="202"/>
      <c r="I182" s="194"/>
      <c r="J182" s="194"/>
      <c r="K182" s="194"/>
      <c r="L182" s="381"/>
    </row>
    <row r="183" spans="1:12" x14ac:dyDescent="0.2">
      <c r="A183" s="275" t="s">
        <v>240</v>
      </c>
      <c r="B183" s="120" t="s">
        <v>118</v>
      </c>
      <c r="C183" s="203"/>
      <c r="D183" s="204">
        <f>IFERROR(D174+D176+D178+D180+D182,0)</f>
        <v>4.2073012020774847</v>
      </c>
      <c r="E183" s="214"/>
      <c r="F183" s="260"/>
      <c r="G183" s="202"/>
      <c r="I183" s="194"/>
      <c r="J183" s="194"/>
      <c r="K183" s="194"/>
      <c r="L183" s="381"/>
    </row>
    <row r="184" spans="1:12" ht="16.5" thickBot="1" x14ac:dyDescent="0.25">
      <c r="A184" s="509" t="str">
        <f>F172</f>
        <v>Total (R$)</v>
      </c>
      <c r="B184" s="497"/>
      <c r="C184" s="497"/>
      <c r="D184" s="497"/>
      <c r="E184" s="498"/>
      <c r="F184" s="211">
        <f>SUM(E173:E182)</f>
        <v>14136.532038980349</v>
      </c>
      <c r="I184" s="194"/>
      <c r="J184" s="194"/>
      <c r="K184" s="194"/>
      <c r="L184" s="381"/>
    </row>
    <row r="185" spans="1:12" ht="11.25" customHeight="1" x14ac:dyDescent="0.2">
      <c r="I185" s="194"/>
      <c r="J185" s="194"/>
      <c r="K185" s="194"/>
      <c r="L185" s="381"/>
    </row>
    <row r="186" spans="1:12" ht="16.5" thickBot="1" x14ac:dyDescent="0.25">
      <c r="A186" s="220" t="s">
        <v>519</v>
      </c>
      <c r="I186" s="194"/>
      <c r="J186" s="194"/>
      <c r="K186" s="194"/>
      <c r="L186" s="381"/>
    </row>
    <row r="187" spans="1:12" ht="16.5" thickBot="1" x14ac:dyDescent="0.25">
      <c r="A187" s="166" t="s">
        <v>65</v>
      </c>
      <c r="B187" s="167" t="s">
        <v>66</v>
      </c>
      <c r="C187" s="167" t="s">
        <v>41</v>
      </c>
      <c r="D187" s="168" t="s">
        <v>227</v>
      </c>
      <c r="E187" s="168" t="s">
        <v>67</v>
      </c>
      <c r="F187" s="169" t="s">
        <v>300</v>
      </c>
      <c r="H187" s="310"/>
      <c r="I187" s="194"/>
      <c r="J187" s="194"/>
      <c r="K187" s="194"/>
      <c r="L187" s="381"/>
    </row>
    <row r="188" spans="1:12" x14ac:dyDescent="0.2">
      <c r="A188" s="251" t="s">
        <v>331</v>
      </c>
      <c r="B188" s="37" t="s">
        <v>118</v>
      </c>
      <c r="C188" s="182">
        <f>C174</f>
        <v>3360</v>
      </c>
      <c r="D188" s="170">
        <v>0.74</v>
      </c>
      <c r="E188" s="215">
        <f>C188*D188</f>
        <v>2486.4</v>
      </c>
      <c r="F188" s="259"/>
      <c r="H188" s="377"/>
      <c r="I188" s="362"/>
      <c r="J188" s="363"/>
      <c r="K188" s="363"/>
      <c r="L188" s="381"/>
    </row>
    <row r="189" spans="1:12" ht="16.5" thickBot="1" x14ac:dyDescent="0.25">
      <c r="A189" s="509" t="str">
        <f>F187</f>
        <v>Total (R$)</v>
      </c>
      <c r="B189" s="497"/>
      <c r="C189" s="497"/>
      <c r="D189" s="497"/>
      <c r="E189" s="498"/>
      <c r="F189" s="211">
        <f>E188</f>
        <v>2486.4</v>
      </c>
      <c r="I189" s="194"/>
      <c r="J189" s="194"/>
      <c r="K189" s="194"/>
      <c r="L189" s="381"/>
    </row>
    <row r="190" spans="1:12" x14ac:dyDescent="0.2">
      <c r="A190" s="130"/>
      <c r="B190" s="130"/>
      <c r="C190" s="130"/>
      <c r="I190" s="194"/>
      <c r="J190" s="194"/>
      <c r="K190" s="194"/>
      <c r="L190" s="381"/>
    </row>
    <row r="191" spans="1:12" ht="16.5" thickBot="1" x14ac:dyDescent="0.25">
      <c r="A191" s="220" t="s">
        <v>520</v>
      </c>
      <c r="I191" s="194"/>
      <c r="J191" s="194"/>
      <c r="K191" s="194"/>
      <c r="L191" s="381"/>
    </row>
    <row r="192" spans="1:12" ht="16.5" thickBot="1" x14ac:dyDescent="0.25">
      <c r="A192" s="166" t="s">
        <v>65</v>
      </c>
      <c r="B192" s="167" t="s">
        <v>66</v>
      </c>
      <c r="C192" s="167" t="s">
        <v>41</v>
      </c>
      <c r="D192" s="168" t="s">
        <v>227</v>
      </c>
      <c r="E192" s="168" t="s">
        <v>67</v>
      </c>
      <c r="F192" s="169" t="s">
        <v>300</v>
      </c>
      <c r="I192" s="194"/>
      <c r="J192" s="194"/>
      <c r="K192" s="194"/>
      <c r="L192" s="381"/>
    </row>
    <row r="193" spans="1:12" x14ac:dyDescent="0.2">
      <c r="A193" s="251" t="s">
        <v>332</v>
      </c>
      <c r="B193" s="37" t="s">
        <v>9</v>
      </c>
      <c r="C193" s="205">
        <v>22</v>
      </c>
      <c r="D193" s="170">
        <v>1709.6</v>
      </c>
      <c r="E193" s="215">
        <f>C193*D193</f>
        <v>37611.199999999997</v>
      </c>
      <c r="F193" s="259"/>
      <c r="H193" s="377"/>
      <c r="I193" s="362"/>
      <c r="J193" s="363"/>
      <c r="K193" s="363"/>
      <c r="L193" s="381"/>
    </row>
    <row r="194" spans="1:12" x14ac:dyDescent="0.2">
      <c r="A194" s="251" t="s">
        <v>119</v>
      </c>
      <c r="B194" s="37" t="s">
        <v>9</v>
      </c>
      <c r="C194" s="205">
        <v>1</v>
      </c>
      <c r="D194" s="206"/>
      <c r="E194" s="215"/>
      <c r="F194" s="260"/>
      <c r="I194" s="194"/>
      <c r="J194" s="194"/>
      <c r="K194" s="194"/>
      <c r="L194" s="381"/>
    </row>
    <row r="195" spans="1:12" x14ac:dyDescent="0.2">
      <c r="A195" s="251" t="s">
        <v>72</v>
      </c>
      <c r="B195" s="37" t="s">
        <v>9</v>
      </c>
      <c r="C195" s="171">
        <f>C193*C194</f>
        <v>22</v>
      </c>
      <c r="D195" s="170">
        <v>751.20605169882504</v>
      </c>
      <c r="E195" s="215">
        <f>C195*D195</f>
        <v>16526.53313737415</v>
      </c>
      <c r="F195" s="260"/>
      <c r="H195" s="377"/>
      <c r="I195" s="362"/>
      <c r="J195" s="363"/>
      <c r="K195" s="363"/>
      <c r="L195" s="381"/>
    </row>
    <row r="196" spans="1:12" x14ac:dyDescent="0.2">
      <c r="A196" s="31" t="s">
        <v>309</v>
      </c>
      <c r="B196" s="25" t="s">
        <v>25</v>
      </c>
      <c r="C196" s="207">
        <v>50000</v>
      </c>
      <c r="D196" s="173">
        <f>E193+E195</f>
        <v>54137.733137374147</v>
      </c>
      <c r="E196" s="214">
        <f>IFERROR(D196/C196,"-")</f>
        <v>1.0827546627474829</v>
      </c>
      <c r="F196" s="260"/>
      <c r="I196" s="194"/>
      <c r="J196" s="194"/>
      <c r="K196" s="194"/>
      <c r="L196" s="381"/>
    </row>
    <row r="197" spans="1:12" x14ac:dyDescent="0.2">
      <c r="A197" s="31" t="s">
        <v>56</v>
      </c>
      <c r="B197" s="25" t="s">
        <v>17</v>
      </c>
      <c r="C197" s="182">
        <f>B170</f>
        <v>3360</v>
      </c>
      <c r="D197" s="173">
        <f>E196</f>
        <v>1.0827546627474829</v>
      </c>
      <c r="E197" s="214">
        <f>IFERROR(C197*D197,0)</f>
        <v>3638.0556668315426</v>
      </c>
      <c r="F197" s="260"/>
      <c r="I197" s="194"/>
      <c r="J197" s="194"/>
      <c r="K197" s="194"/>
      <c r="L197" s="381"/>
    </row>
    <row r="198" spans="1:12" ht="16.5" thickBot="1" x14ac:dyDescent="0.25">
      <c r="A198" s="509" t="str">
        <f>F192</f>
        <v>Total (R$)</v>
      </c>
      <c r="B198" s="497"/>
      <c r="C198" s="497"/>
      <c r="D198" s="497"/>
      <c r="E198" s="498"/>
      <c r="F198" s="211">
        <f>E197</f>
        <v>3638.0556668315426</v>
      </c>
      <c r="I198" s="194"/>
      <c r="J198" s="194"/>
      <c r="K198" s="194"/>
      <c r="L198" s="381"/>
    </row>
    <row r="199" spans="1:12" ht="11.25" customHeight="1" x14ac:dyDescent="0.2">
      <c r="I199" s="194"/>
      <c r="J199" s="194"/>
      <c r="K199" s="194"/>
      <c r="L199" s="381"/>
    </row>
    <row r="200" spans="1:12" ht="11.25" customHeight="1" thickBot="1" x14ac:dyDescent="0.25">
      <c r="L200" s="381"/>
    </row>
    <row r="201" spans="1:12" ht="16.5" thickBot="1" x14ac:dyDescent="0.25">
      <c r="A201" s="217" t="s">
        <v>219</v>
      </c>
      <c r="B201" s="218"/>
      <c r="C201" s="218"/>
      <c r="D201" s="156"/>
      <c r="E201" s="156"/>
      <c r="F201" s="213">
        <f>+SUM(F110:F200)</f>
        <v>34378.883065753158</v>
      </c>
      <c r="G201" s="98"/>
      <c r="L201" s="381"/>
    </row>
    <row r="202" spans="1:12" ht="11.25" customHeight="1" x14ac:dyDescent="0.2">
      <c r="G202" s="98"/>
      <c r="L202" s="381"/>
    </row>
    <row r="203" spans="1:12" x14ac:dyDescent="0.2">
      <c r="A203" s="107" t="s">
        <v>75</v>
      </c>
      <c r="B203" s="107"/>
      <c r="C203" s="107"/>
      <c r="D203" s="128"/>
      <c r="E203" s="128"/>
      <c r="F203" s="208"/>
      <c r="G203" s="98"/>
      <c r="L203" s="381"/>
    </row>
    <row r="204" spans="1:12" ht="11.25" customHeight="1" thickBot="1" x14ac:dyDescent="0.25">
      <c r="G204" s="98"/>
      <c r="L204" s="381"/>
    </row>
    <row r="205" spans="1:12" ht="16.5" thickBot="1" x14ac:dyDescent="0.25">
      <c r="A205" s="166" t="s">
        <v>65</v>
      </c>
      <c r="B205" s="167" t="s">
        <v>66</v>
      </c>
      <c r="C205" s="167" t="s">
        <v>41</v>
      </c>
      <c r="D205" s="168" t="s">
        <v>227</v>
      </c>
      <c r="E205" s="168" t="s">
        <v>67</v>
      </c>
      <c r="F205" s="169" t="s">
        <v>300</v>
      </c>
      <c r="G205" s="98"/>
      <c r="L205" s="381"/>
    </row>
    <row r="206" spans="1:12" x14ac:dyDescent="0.2">
      <c r="A206" s="31" t="s">
        <v>73</v>
      </c>
      <c r="B206" s="25" t="s">
        <v>9</v>
      </c>
      <c r="C206" s="191">
        <v>1</v>
      </c>
      <c r="D206" s="170">
        <v>39.472463443810987</v>
      </c>
      <c r="E206" s="214">
        <f>C206*D206/12</f>
        <v>3.2893719536509156</v>
      </c>
      <c r="F206" s="279"/>
      <c r="H206" s="377"/>
      <c r="I206" s="362"/>
      <c r="J206" s="363"/>
      <c r="K206" s="363"/>
      <c r="L206" s="381"/>
    </row>
    <row r="207" spans="1:12" x14ac:dyDescent="0.2">
      <c r="A207" s="31" t="s">
        <v>27</v>
      </c>
      <c r="B207" s="25" t="s">
        <v>9</v>
      </c>
      <c r="C207" s="191">
        <v>1</v>
      </c>
      <c r="D207" s="170">
        <v>29.911659149462309</v>
      </c>
      <c r="E207" s="214">
        <f t="shared" ref="E207:E209" si="3">C207*D207/12</f>
        <v>2.4926382624551926</v>
      </c>
      <c r="F207" s="273"/>
      <c r="H207" s="377"/>
      <c r="I207" s="362"/>
      <c r="J207" s="363"/>
      <c r="K207" s="363"/>
      <c r="L207" s="381"/>
    </row>
    <row r="208" spans="1:12" x14ac:dyDescent="0.2">
      <c r="A208" s="31" t="s">
        <v>58</v>
      </c>
      <c r="B208" s="25" t="s">
        <v>59</v>
      </c>
      <c r="C208" s="191">
        <v>1</v>
      </c>
      <c r="D208" s="170">
        <v>24.9</v>
      </c>
      <c r="E208" s="214">
        <f t="shared" si="3"/>
        <v>2.0749999999999997</v>
      </c>
      <c r="F208" s="273"/>
      <c r="H208" s="377"/>
      <c r="I208" s="362"/>
      <c r="J208" s="363"/>
      <c r="K208" s="363"/>
      <c r="L208" s="381"/>
    </row>
    <row r="209" spans="1:12" x14ac:dyDescent="0.2">
      <c r="A209" s="31" t="s">
        <v>61</v>
      </c>
      <c r="B209" s="25" t="s">
        <v>59</v>
      </c>
      <c r="C209" s="191">
        <v>1</v>
      </c>
      <c r="D209" s="170">
        <v>245.84925328325184</v>
      </c>
      <c r="E209" s="214">
        <f t="shared" si="3"/>
        <v>20.48743777360432</v>
      </c>
      <c r="F209" s="273"/>
      <c r="H209" s="377"/>
      <c r="I209" s="362"/>
      <c r="J209" s="363"/>
      <c r="K209" s="363"/>
      <c r="L209" s="381"/>
    </row>
    <row r="210" spans="1:12" ht="16.5" thickBot="1" x14ac:dyDescent="0.25">
      <c r="A210" s="509" t="s">
        <v>337</v>
      </c>
      <c r="B210" s="497"/>
      <c r="C210" s="286"/>
      <c r="D210" s="257" t="s">
        <v>301</v>
      </c>
      <c r="E210" s="350">
        <f>$B$48</f>
        <v>0.5181</v>
      </c>
      <c r="F210" s="211">
        <f>(E206+E207+E208+E209)*E210</f>
        <v>14.685258503468972</v>
      </c>
      <c r="G210" s="360"/>
      <c r="L210" s="381"/>
    </row>
    <row r="211" spans="1:12" ht="11.25" customHeight="1" thickBot="1" x14ac:dyDescent="0.25">
      <c r="G211" s="98"/>
      <c r="L211" s="381"/>
    </row>
    <row r="212" spans="1:12" ht="16.5" thickBot="1" x14ac:dyDescent="0.25">
      <c r="A212" s="528" t="s">
        <v>220</v>
      </c>
      <c r="B212" s="529"/>
      <c r="C212" s="529"/>
      <c r="D212" s="529"/>
      <c r="E212" s="529"/>
      <c r="F212" s="178">
        <f>+F210</f>
        <v>14.685258503468972</v>
      </c>
      <c r="G212" s="98"/>
      <c r="L212" s="381"/>
    </row>
    <row r="213" spans="1:12" ht="11.25" customHeight="1" x14ac:dyDescent="0.2">
      <c r="G213" s="98"/>
      <c r="L213" s="381"/>
    </row>
    <row r="214" spans="1:12" x14ac:dyDescent="0.2">
      <c r="A214" s="107" t="s">
        <v>76</v>
      </c>
      <c r="B214" s="107"/>
      <c r="C214" s="107"/>
      <c r="D214" s="128"/>
      <c r="E214" s="128"/>
      <c r="F214" s="208"/>
      <c r="G214" s="98"/>
      <c r="L214" s="381"/>
    </row>
    <row r="215" spans="1:12" ht="11.25" customHeight="1" thickBot="1" x14ac:dyDescent="0.25">
      <c r="L215" s="381"/>
    </row>
    <row r="216" spans="1:12" ht="16.5" thickBot="1" x14ac:dyDescent="0.25">
      <c r="A216" s="166" t="s">
        <v>65</v>
      </c>
      <c r="B216" s="167" t="s">
        <v>66</v>
      </c>
      <c r="C216" s="167" t="s">
        <v>41</v>
      </c>
      <c r="D216" s="168" t="s">
        <v>227</v>
      </c>
      <c r="E216" s="168" t="s">
        <v>67</v>
      </c>
      <c r="F216" s="169" t="s">
        <v>300</v>
      </c>
      <c r="L216" s="381"/>
    </row>
    <row r="217" spans="1:12" x14ac:dyDescent="0.2">
      <c r="A217" s="31" t="s">
        <v>217</v>
      </c>
      <c r="B217" s="25" t="s">
        <v>59</v>
      </c>
      <c r="C217" s="192">
        <f>C110</f>
        <v>1</v>
      </c>
      <c r="D217" s="185">
        <v>1160.9548071709116</v>
      </c>
      <c r="E217" s="214">
        <f>+D217*C217</f>
        <v>1160.9548071709116</v>
      </c>
      <c r="F217" s="279"/>
      <c r="H217" s="377"/>
      <c r="I217" s="362"/>
      <c r="J217" s="363"/>
      <c r="K217" s="363"/>
      <c r="L217" s="381"/>
    </row>
    <row r="218" spans="1:12" x14ac:dyDescent="0.2">
      <c r="A218" s="31" t="s">
        <v>62</v>
      </c>
      <c r="B218" s="25" t="s">
        <v>7</v>
      </c>
      <c r="C218" s="25">
        <v>60</v>
      </c>
      <c r="D218" s="173">
        <f>SUM(E217:E217)</f>
        <v>1160.9548071709116</v>
      </c>
      <c r="E218" s="214">
        <f>+D218/C218</f>
        <v>19.349246786181862</v>
      </c>
      <c r="F218" s="273"/>
      <c r="L218" s="381"/>
    </row>
    <row r="219" spans="1:12" x14ac:dyDescent="0.2">
      <c r="A219" s="31" t="s">
        <v>218</v>
      </c>
      <c r="B219" s="25" t="s">
        <v>9</v>
      </c>
      <c r="C219" s="192">
        <f>+C217</f>
        <v>1</v>
      </c>
      <c r="D219" s="185">
        <v>102.43718886802161</v>
      </c>
      <c r="E219" s="214">
        <f>C219*D219</f>
        <v>102.43718886802161</v>
      </c>
      <c r="F219" s="273"/>
      <c r="H219" s="377"/>
      <c r="I219" s="362"/>
      <c r="J219" s="363"/>
      <c r="K219" s="363"/>
      <c r="L219" s="381"/>
    </row>
    <row r="220" spans="1:12" x14ac:dyDescent="0.2">
      <c r="A220" s="31" t="s">
        <v>38</v>
      </c>
      <c r="B220" s="25" t="s">
        <v>7</v>
      </c>
      <c r="C220" s="25">
        <v>1</v>
      </c>
      <c r="D220" s="173">
        <f>+E219</f>
        <v>102.43718886802161</v>
      </c>
      <c r="E220" s="214">
        <f>+D220/C220</f>
        <v>102.43718886802161</v>
      </c>
      <c r="F220" s="273"/>
      <c r="L220" s="381"/>
    </row>
    <row r="221" spans="1:12" ht="16.5" thickBot="1" x14ac:dyDescent="0.25">
      <c r="A221" s="509" t="str">
        <f>F216</f>
        <v>Total (R$)</v>
      </c>
      <c r="B221" s="497"/>
      <c r="C221" s="498"/>
      <c r="D221" s="257" t="s">
        <v>301</v>
      </c>
      <c r="E221" s="350">
        <f>$B$48</f>
        <v>0.5181</v>
      </c>
      <c r="F221" s="211">
        <f>(E218+E220)*E221</f>
        <v>63.097552312442822</v>
      </c>
      <c r="L221" s="381"/>
    </row>
    <row r="222" spans="1:12" s="210" customFormat="1" ht="11.25" customHeight="1" thickBot="1" x14ac:dyDescent="0.25">
      <c r="A222" s="98"/>
      <c r="B222" s="98"/>
      <c r="C222" s="98"/>
      <c r="D222" s="130"/>
      <c r="E222" s="130"/>
      <c r="F222" s="130"/>
      <c r="G222" s="98"/>
      <c r="L222" s="383"/>
    </row>
    <row r="223" spans="1:12" ht="16.5" thickBot="1" x14ac:dyDescent="0.25">
      <c r="A223" s="528" t="s">
        <v>216</v>
      </c>
      <c r="B223" s="529"/>
      <c r="C223" s="529"/>
      <c r="D223" s="529"/>
      <c r="E223" s="529"/>
      <c r="F223" s="178">
        <f>+F221</f>
        <v>63.097552312442822</v>
      </c>
      <c r="G223" s="98"/>
      <c r="L223" s="381"/>
    </row>
    <row r="224" spans="1:12" ht="11.25" customHeight="1" x14ac:dyDescent="0.2">
      <c r="A224" s="308"/>
      <c r="B224" s="308"/>
      <c r="C224" s="308"/>
      <c r="D224" s="308"/>
      <c r="E224" s="308"/>
      <c r="F224" s="208"/>
      <c r="G224" s="98"/>
      <c r="L224" s="381"/>
    </row>
    <row r="225" spans="1:12" x14ac:dyDescent="0.2">
      <c r="A225" s="107" t="s">
        <v>349</v>
      </c>
      <c r="B225" s="107"/>
      <c r="C225" s="107"/>
      <c r="D225" s="128"/>
      <c r="E225" s="128"/>
      <c r="F225" s="208"/>
      <c r="G225" s="98"/>
      <c r="L225" s="381"/>
    </row>
    <row r="226" spans="1:12" ht="16.5" thickBot="1" x14ac:dyDescent="0.25">
      <c r="G226" s="98"/>
      <c r="L226" s="381"/>
    </row>
    <row r="227" spans="1:12" ht="16.5" thickBot="1" x14ac:dyDescent="0.25">
      <c r="A227" s="166" t="s">
        <v>65</v>
      </c>
      <c r="B227" s="167" t="s">
        <v>66</v>
      </c>
      <c r="C227" s="167" t="s">
        <v>41</v>
      </c>
      <c r="D227" s="168" t="s">
        <v>227</v>
      </c>
      <c r="E227" s="168" t="s">
        <v>67</v>
      </c>
      <c r="F227" s="169" t="s">
        <v>300</v>
      </c>
      <c r="G227" s="360"/>
      <c r="L227" s="381"/>
    </row>
    <row r="228" spans="1:12" x14ac:dyDescent="0.2">
      <c r="A228" s="31" t="s">
        <v>350</v>
      </c>
      <c r="B228" s="25" t="s">
        <v>248</v>
      </c>
      <c r="C228" s="376">
        <v>340</v>
      </c>
      <c r="D228" s="367">
        <v>60</v>
      </c>
      <c r="E228" s="214">
        <f>+D228*C228</f>
        <v>20400</v>
      </c>
      <c r="F228" s="279"/>
      <c r="H228" s="377"/>
      <c r="I228" s="362"/>
      <c r="J228" s="363"/>
      <c r="K228" s="363"/>
      <c r="L228" s="381"/>
    </row>
    <row r="229" spans="1:12" ht="16.5" thickBot="1" x14ac:dyDescent="0.25">
      <c r="A229" s="509" t="str">
        <f>F227</f>
        <v>Total (R$)</v>
      </c>
      <c r="B229" s="497"/>
      <c r="C229" s="498"/>
      <c r="D229" s="257" t="s">
        <v>301</v>
      </c>
      <c r="E229" s="266">
        <v>1</v>
      </c>
      <c r="F229" s="211">
        <f>E228</f>
        <v>20400</v>
      </c>
      <c r="G229" s="360"/>
      <c r="L229" s="381"/>
    </row>
    <row r="230" spans="1:12" ht="11.25" customHeight="1" thickBot="1" x14ac:dyDescent="0.25">
      <c r="G230" s="360"/>
      <c r="L230" s="381"/>
    </row>
    <row r="231" spans="1:12" ht="17.25" customHeight="1" thickBot="1" x14ac:dyDescent="0.25">
      <c r="A231" s="528" t="s">
        <v>221</v>
      </c>
      <c r="B231" s="529"/>
      <c r="C231" s="529"/>
      <c r="D231" s="529"/>
      <c r="E231" s="529"/>
      <c r="F231" s="300">
        <f>+F85+F102+F201+F212+F223+F229</f>
        <v>57778.058873742659</v>
      </c>
      <c r="G231" s="360"/>
      <c r="L231" s="381"/>
    </row>
    <row r="232" spans="1:12" ht="11.25" customHeight="1" x14ac:dyDescent="0.2">
      <c r="G232" s="98"/>
      <c r="L232" s="381"/>
    </row>
    <row r="233" spans="1:12" x14ac:dyDescent="0.2">
      <c r="A233" s="107" t="s">
        <v>354</v>
      </c>
      <c r="G233" s="98"/>
      <c r="L233" s="381"/>
    </row>
    <row r="234" spans="1:12" ht="11.25" customHeight="1" thickBot="1" x14ac:dyDescent="0.25">
      <c r="G234" s="98"/>
      <c r="L234" s="381"/>
    </row>
    <row r="235" spans="1:12" ht="16.5" thickBot="1" x14ac:dyDescent="0.25">
      <c r="A235" s="166" t="s">
        <v>65</v>
      </c>
      <c r="B235" s="167" t="s">
        <v>66</v>
      </c>
      <c r="C235" s="167" t="s">
        <v>41</v>
      </c>
      <c r="D235" s="168" t="s">
        <v>227</v>
      </c>
      <c r="E235" s="168" t="s">
        <v>67</v>
      </c>
      <c r="F235" s="169" t="s">
        <v>300</v>
      </c>
      <c r="G235" s="98"/>
      <c r="L235" s="381"/>
    </row>
    <row r="236" spans="1:12" x14ac:dyDescent="0.2">
      <c r="A236" s="251" t="s">
        <v>37</v>
      </c>
      <c r="B236" s="37" t="s">
        <v>2</v>
      </c>
      <c r="C236" s="416">
        <f>SUM('4.BDI'!B14:C14)</f>
        <v>0.21820000000000001</v>
      </c>
      <c r="D236" s="171">
        <f>+F231-F229</f>
        <v>37378.058873742659</v>
      </c>
      <c r="E236" s="215">
        <f>C236*D236</f>
        <v>8155.8924462506484</v>
      </c>
      <c r="F236" s="259"/>
      <c r="L236" s="381"/>
    </row>
    <row r="237" spans="1:12" ht="31.5" x14ac:dyDescent="0.2">
      <c r="A237" s="311" t="s">
        <v>353</v>
      </c>
      <c r="B237" s="37" t="s">
        <v>2</v>
      </c>
      <c r="C237" s="416">
        <f>SUM('4.BDI'!B28:C28)</f>
        <v>0.13020000000000001</v>
      </c>
      <c r="D237" s="171">
        <f>F229</f>
        <v>20400</v>
      </c>
      <c r="E237" s="215">
        <f>C237*D237</f>
        <v>2656.0800000000004</v>
      </c>
      <c r="F237" s="260"/>
      <c r="L237" s="381"/>
    </row>
    <row r="238" spans="1:12" ht="16.5" thickBot="1" x14ac:dyDescent="0.25">
      <c r="A238" s="532" t="str">
        <f>F235</f>
        <v>Total (R$)</v>
      </c>
      <c r="B238" s="555"/>
      <c r="C238" s="555"/>
      <c r="D238" s="555"/>
      <c r="E238" s="555"/>
      <c r="F238" s="211">
        <f>+E236+E237</f>
        <v>10811.972446250649</v>
      </c>
    </row>
    <row r="239" spans="1:12" ht="11.25" customHeight="1" thickBot="1" x14ac:dyDescent="0.25"/>
    <row r="240" spans="1:12" ht="16.5" thickBot="1" x14ac:dyDescent="0.25">
      <c r="A240" s="528" t="s">
        <v>232</v>
      </c>
      <c r="B240" s="529"/>
      <c r="C240" s="529"/>
      <c r="D240" s="529"/>
      <c r="E240" s="529"/>
      <c r="F240" s="300">
        <f>F238</f>
        <v>10811.972446250649</v>
      </c>
    </row>
    <row r="241" spans="1:10" x14ac:dyDescent="0.2">
      <c r="A241" s="107"/>
      <c r="B241" s="107"/>
      <c r="C241" s="107"/>
      <c r="D241" s="128"/>
      <c r="E241" s="128"/>
      <c r="F241" s="208"/>
    </row>
    <row r="242" spans="1:10" ht="11.25" customHeight="1" thickBot="1" x14ac:dyDescent="0.25"/>
    <row r="243" spans="1:10" ht="16.5" thickBot="1" x14ac:dyDescent="0.25">
      <c r="A243" s="528" t="s">
        <v>222</v>
      </c>
      <c r="B243" s="529"/>
      <c r="C243" s="529"/>
      <c r="D243" s="529"/>
      <c r="E243" s="529"/>
      <c r="F243" s="300">
        <f>F231+F240</f>
        <v>68590.031319993315</v>
      </c>
    </row>
    <row r="244" spans="1:10" ht="12.6" customHeight="1" x14ac:dyDescent="0.2">
      <c r="A244" s="107"/>
      <c r="B244" s="107"/>
      <c r="C244" s="107"/>
      <c r="D244" s="128"/>
      <c r="E244" s="128"/>
      <c r="F244" s="128"/>
    </row>
    <row r="245" spans="1:10" ht="16.5" thickBot="1" x14ac:dyDescent="0.25"/>
    <row r="246" spans="1:10" ht="16.149999999999999" customHeight="1" thickBot="1" x14ac:dyDescent="0.25">
      <c r="A246" s="186" t="s">
        <v>215</v>
      </c>
      <c r="B246" s="187"/>
      <c r="C246" s="187"/>
      <c r="D246" s="245">
        <f>SUM(C228)</f>
        <v>340</v>
      </c>
      <c r="E246" s="189" t="s">
        <v>26</v>
      </c>
    </row>
    <row r="247" spans="1:10" ht="16.5" thickBot="1" x14ac:dyDescent="0.25">
      <c r="H247" s="194"/>
    </row>
    <row r="248" spans="1:10" ht="16.5" thickBot="1" x14ac:dyDescent="0.25">
      <c r="A248" s="528" t="s">
        <v>71</v>
      </c>
      <c r="B248" s="529"/>
      <c r="C248" s="529"/>
      <c r="D248" s="529"/>
      <c r="E248" s="287" t="s">
        <v>33</v>
      </c>
      <c r="F248" s="306">
        <f>IFERROR(F243/D246,"-")</f>
        <v>201.73538623527446</v>
      </c>
    </row>
    <row r="249" spans="1:10" ht="12.6" customHeight="1" x14ac:dyDescent="0.2">
      <c r="A249" s="107"/>
      <c r="B249" s="107"/>
      <c r="C249" s="107"/>
      <c r="D249" s="128"/>
      <c r="E249" s="128"/>
      <c r="F249" s="128"/>
    </row>
    <row r="250" spans="1:10" s="130" customFormat="1" ht="9.75" customHeight="1" x14ac:dyDescent="0.2">
      <c r="A250" s="129"/>
      <c r="H250" s="98"/>
      <c r="I250" s="98"/>
      <c r="J250" s="98"/>
    </row>
    <row r="251" spans="1:10" s="130" customFormat="1" ht="9.75" customHeight="1" x14ac:dyDescent="0.2">
      <c r="A251" s="129"/>
      <c r="H251" s="98"/>
      <c r="I251" s="98"/>
      <c r="J251" s="98"/>
    </row>
    <row r="252" spans="1:10" s="130" customFormat="1" ht="9.75" customHeight="1" x14ac:dyDescent="0.2">
      <c r="A252" s="129"/>
      <c r="H252" s="98"/>
      <c r="I252" s="98"/>
      <c r="J252" s="98"/>
    </row>
    <row r="257" spans="9:10" x14ac:dyDescent="0.2">
      <c r="I257" s="380"/>
      <c r="J257" s="380"/>
    </row>
  </sheetData>
  <mergeCells count="57">
    <mergeCell ref="A61:D61"/>
    <mergeCell ref="A63:D63"/>
    <mergeCell ref="A6:F6"/>
    <mergeCell ref="A16:F16"/>
    <mergeCell ref="A23:C23"/>
    <mergeCell ref="A39:E39"/>
    <mergeCell ref="A40:D40"/>
    <mergeCell ref="A13:F13"/>
    <mergeCell ref="A7:F7"/>
    <mergeCell ref="A8:F8"/>
    <mergeCell ref="A15:F15"/>
    <mergeCell ref="A14:F14"/>
    <mergeCell ref="A49:F49"/>
    <mergeCell ref="A44:D44"/>
    <mergeCell ref="A51:F51"/>
    <mergeCell ref="A52:F52"/>
    <mergeCell ref="A1:F1"/>
    <mergeCell ref="A2:F2"/>
    <mergeCell ref="A3:F3"/>
    <mergeCell ref="A4:F4"/>
    <mergeCell ref="A5:F5"/>
    <mergeCell ref="A66:F66"/>
    <mergeCell ref="A67:F67"/>
    <mergeCell ref="A68:F68"/>
    <mergeCell ref="A74:F74"/>
    <mergeCell ref="A75:F75"/>
    <mergeCell ref="A53:F53"/>
    <mergeCell ref="A50:F50"/>
    <mergeCell ref="A132:C132"/>
    <mergeCell ref="A83:C83"/>
    <mergeCell ref="A100:C100"/>
    <mergeCell ref="A102:E102"/>
    <mergeCell ref="A65:C65"/>
    <mergeCell ref="A73:E73"/>
    <mergeCell ref="A78:E78"/>
    <mergeCell ref="A80:F80"/>
    <mergeCell ref="A86:F86"/>
    <mergeCell ref="A87:F87"/>
    <mergeCell ref="A88:F88"/>
    <mergeCell ref="A89:F89"/>
    <mergeCell ref="A90:F90"/>
    <mergeCell ref="A79:F79"/>
    <mergeCell ref="A158:C158"/>
    <mergeCell ref="A166:C166"/>
    <mergeCell ref="A184:E184"/>
    <mergeCell ref="A189:E189"/>
    <mergeCell ref="A198:E198"/>
    <mergeCell ref="A212:E212"/>
    <mergeCell ref="A229:C229"/>
    <mergeCell ref="A210:B210"/>
    <mergeCell ref="A243:E243"/>
    <mergeCell ref="A248:D248"/>
    <mergeCell ref="A221:C221"/>
    <mergeCell ref="A223:E223"/>
    <mergeCell ref="A231:E231"/>
    <mergeCell ref="A238:E238"/>
    <mergeCell ref="A240:E240"/>
  </mergeCells>
  <hyperlinks>
    <hyperlink ref="A134" location="AbaRemun" display="3.1.2. Remuneração do Capital" xr:uid="{00000000-0004-0000-0500-000000000000}"/>
    <hyperlink ref="A108" location="AbaDeprec" display="3.1.1. Depreciação" xr:uid="{00000000-0004-0000-0500-000001000000}"/>
  </hyperlinks>
  <pageMargins left="0.9055118110236221" right="0.51181102362204722" top="0.74803149606299213" bottom="0.74803149606299213" header="0.31496062992125984" footer="0.31496062992125984"/>
  <pageSetup paperSize="9" scale="60" fitToHeight="0" orientation="portrait" r:id="rId1"/>
  <headerFooter alignWithMargins="0">
    <oddFooter>&amp;R&amp;P de &amp;N</oddFooter>
  </headerFooter>
  <rowBreaks count="4" manualBreakCount="4">
    <brk id="49" max="5" man="1"/>
    <brk id="67" max="5" man="1"/>
    <brk id="103" max="5" man="1"/>
    <brk id="190" max="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"/>
  <sheetViews>
    <sheetView topLeftCell="A4" zoomScaleNormal="100" workbookViewId="0">
      <selection activeCell="A4" sqref="A4:C4"/>
    </sheetView>
  </sheetViews>
  <sheetFormatPr defaultColWidth="9.140625"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6" hidden="1" x14ac:dyDescent="0.2">
      <c r="A1" s="2" t="s">
        <v>197</v>
      </c>
    </row>
    <row r="2" spans="1:6" hidden="1" x14ac:dyDescent="0.2">
      <c r="A2" s="3" t="s">
        <v>237</v>
      </c>
    </row>
    <row r="3" spans="1:6" ht="13.5" hidden="1" thickBot="1" x14ac:dyDescent="0.25"/>
    <row r="4" spans="1:6" ht="18" x14ac:dyDescent="0.2">
      <c r="A4" s="566" t="s">
        <v>224</v>
      </c>
      <c r="B4" s="567"/>
      <c r="C4" s="568"/>
      <c r="D4" s="4"/>
      <c r="E4" s="4"/>
      <c r="F4" s="4"/>
    </row>
    <row r="5" spans="1:6" ht="15.75" x14ac:dyDescent="0.2">
      <c r="A5" s="84" t="s">
        <v>139</v>
      </c>
      <c r="B5" s="85" t="s">
        <v>140</v>
      </c>
      <c r="C5" s="86" t="s">
        <v>141</v>
      </c>
      <c r="D5" s="5"/>
    </row>
    <row r="6" spans="1:6" ht="15.75" x14ac:dyDescent="0.2">
      <c r="A6" s="83" t="s">
        <v>142</v>
      </c>
      <c r="B6" s="75" t="s">
        <v>42</v>
      </c>
      <c r="C6" s="76">
        <v>0.2</v>
      </c>
      <c r="D6" s="5"/>
    </row>
    <row r="7" spans="1:6" ht="15.75" x14ac:dyDescent="0.2">
      <c r="A7" s="83" t="s">
        <v>143</v>
      </c>
      <c r="B7" s="75" t="s">
        <v>144</v>
      </c>
      <c r="C7" s="76">
        <v>1.4999999999999999E-2</v>
      </c>
      <c r="D7" s="5"/>
    </row>
    <row r="8" spans="1:6" ht="15.75" x14ac:dyDescent="0.2">
      <c r="A8" s="83" t="s">
        <v>145</v>
      </c>
      <c r="B8" s="75" t="s">
        <v>146</v>
      </c>
      <c r="C8" s="76">
        <v>0.01</v>
      </c>
      <c r="D8" s="5"/>
    </row>
    <row r="9" spans="1:6" ht="15.75" x14ac:dyDescent="0.2">
      <c r="A9" s="83" t="s">
        <v>147</v>
      </c>
      <c r="B9" s="75" t="s">
        <v>148</v>
      </c>
      <c r="C9" s="76">
        <v>2E-3</v>
      </c>
      <c r="D9" s="5"/>
    </row>
    <row r="10" spans="1:6" ht="15.75" x14ac:dyDescent="0.2">
      <c r="A10" s="83" t="s">
        <v>149</v>
      </c>
      <c r="B10" s="75" t="s">
        <v>150</v>
      </c>
      <c r="C10" s="76">
        <v>6.0000000000000001E-3</v>
      </c>
      <c r="D10" s="5"/>
    </row>
    <row r="11" spans="1:6" ht="15.75" x14ac:dyDescent="0.2">
      <c r="A11" s="83" t="s">
        <v>151</v>
      </c>
      <c r="B11" s="75" t="s">
        <v>152</v>
      </c>
      <c r="C11" s="76">
        <v>2.5000000000000001E-2</v>
      </c>
      <c r="D11" s="5"/>
    </row>
    <row r="12" spans="1:6" ht="15.75" x14ac:dyDescent="0.2">
      <c r="A12" s="83" t="s">
        <v>153</v>
      </c>
      <c r="B12" s="75" t="s">
        <v>154</v>
      </c>
      <c r="C12" s="76">
        <v>0.03</v>
      </c>
      <c r="D12" s="5"/>
    </row>
    <row r="13" spans="1:6" ht="15.75" x14ac:dyDescent="0.2">
      <c r="A13" s="83" t="s">
        <v>155</v>
      </c>
      <c r="B13" s="75" t="s">
        <v>43</v>
      </c>
      <c r="C13" s="76">
        <v>0.08</v>
      </c>
      <c r="D13" s="5"/>
    </row>
    <row r="14" spans="1:6" ht="15.75" x14ac:dyDescent="0.2">
      <c r="A14" s="89" t="s">
        <v>156</v>
      </c>
      <c r="B14" s="90" t="s">
        <v>157</v>
      </c>
      <c r="C14" s="91">
        <f>SUM(C6:C13)</f>
        <v>0.36800000000000005</v>
      </c>
      <c r="D14" s="5"/>
    </row>
    <row r="15" spans="1:6" ht="15.75" x14ac:dyDescent="0.2">
      <c r="A15" s="87"/>
      <c r="B15" s="77"/>
      <c r="C15" s="78"/>
      <c r="D15" s="5"/>
    </row>
    <row r="16" spans="1:6" ht="15.75" x14ac:dyDescent="0.2">
      <c r="A16" s="83" t="s">
        <v>158</v>
      </c>
      <c r="B16" s="79" t="s">
        <v>159</v>
      </c>
      <c r="C16" s="76">
        <f>ROUND(IF('3.CAGED'!C39&gt;24,(1-12/'3.CAGED'!C39)*0.1111,0.1111-C25),4)</f>
        <v>5.9900000000000002E-2</v>
      </c>
      <c r="D16" s="5"/>
    </row>
    <row r="17" spans="1:8" ht="15.75" x14ac:dyDescent="0.2">
      <c r="A17" s="83" t="s">
        <v>160</v>
      </c>
      <c r="B17" s="79" t="s">
        <v>161</v>
      </c>
      <c r="C17" s="76">
        <f>ROUND('3.CAGED'!C33/'3.CAGED'!C30,4)</f>
        <v>8.3299999999999999E-2</v>
      </c>
      <c r="D17" s="5"/>
    </row>
    <row r="18" spans="1:8" ht="15.75" x14ac:dyDescent="0.2">
      <c r="A18" s="83" t="s">
        <v>214</v>
      </c>
      <c r="B18" s="79" t="s">
        <v>163</v>
      </c>
      <c r="C18" s="76">
        <v>5.9999999999999995E-4</v>
      </c>
      <c r="D18" s="5"/>
    </row>
    <row r="19" spans="1:8" ht="15.75" x14ac:dyDescent="0.2">
      <c r="A19" s="83" t="s">
        <v>162</v>
      </c>
      <c r="B19" s="79" t="s">
        <v>165</v>
      </c>
      <c r="C19" s="76">
        <v>8.2000000000000007E-3</v>
      </c>
      <c r="D19" s="5"/>
    </row>
    <row r="20" spans="1:8" ht="15.75" x14ac:dyDescent="0.2">
      <c r="A20" s="83" t="s">
        <v>164</v>
      </c>
      <c r="B20" s="79" t="s">
        <v>167</v>
      </c>
      <c r="C20" s="76">
        <v>3.0999999999999999E-3</v>
      </c>
      <c r="D20" s="5"/>
    </row>
    <row r="21" spans="1:8" ht="15.75" x14ac:dyDescent="0.2">
      <c r="A21" s="83" t="s">
        <v>166</v>
      </c>
      <c r="B21" s="79" t="s">
        <v>168</v>
      </c>
      <c r="C21" s="76">
        <v>1.66E-2</v>
      </c>
      <c r="D21" s="5"/>
    </row>
    <row r="22" spans="1:8" ht="15.75" x14ac:dyDescent="0.2">
      <c r="A22" s="89" t="s">
        <v>169</v>
      </c>
      <c r="B22" s="90" t="s">
        <v>170</v>
      </c>
      <c r="C22" s="91">
        <f>SUM(C16:C21)</f>
        <v>0.17169999999999999</v>
      </c>
      <c r="D22" s="6"/>
    </row>
    <row r="23" spans="1:8" ht="15.75" x14ac:dyDescent="0.2">
      <c r="A23" s="87"/>
      <c r="B23" s="77"/>
      <c r="C23" s="78"/>
      <c r="D23" s="6"/>
    </row>
    <row r="24" spans="1:8" ht="15.75" x14ac:dyDescent="0.2">
      <c r="A24" s="83" t="s">
        <v>171</v>
      </c>
      <c r="B24" s="75" t="s">
        <v>172</v>
      </c>
      <c r="C24" s="76">
        <f>ROUND(('3.CAGED'!C38) *'3.CAGED'!C29/'3.CAGED'!C30,4)</f>
        <v>3.8399999999999997E-2</v>
      </c>
      <c r="D24" s="5"/>
      <c r="E24" s="7"/>
    </row>
    <row r="25" spans="1:8" ht="15.75" x14ac:dyDescent="0.2">
      <c r="A25" s="83" t="s">
        <v>213</v>
      </c>
      <c r="B25" s="75" t="s">
        <v>174</v>
      </c>
      <c r="C25" s="76">
        <f>ROUND(IF('3.CAGED'!C39&gt;12,12/'3.CAGED'!C39*0.1111,0.1111),4)</f>
        <v>5.1200000000000002E-2</v>
      </c>
      <c r="D25" s="5"/>
      <c r="H25" s="8"/>
    </row>
    <row r="26" spans="1:8" ht="15.75" x14ac:dyDescent="0.2">
      <c r="A26" s="83" t="s">
        <v>173</v>
      </c>
      <c r="B26" s="75" t="s">
        <v>176</v>
      </c>
      <c r="C26" s="76">
        <f>ROUND(('3.CAGED'!C32+'3.CAGED'!C31)/360*C24,4)</f>
        <v>4.3E-3</v>
      </c>
      <c r="D26" s="5"/>
    </row>
    <row r="27" spans="1:8" ht="15.75" x14ac:dyDescent="0.2">
      <c r="A27" s="83" t="s">
        <v>175</v>
      </c>
      <c r="B27" s="75" t="s">
        <v>178</v>
      </c>
      <c r="C27" s="76">
        <f>ROUND(('3.CAGED'!C30+'3.CAGED'!C31+'3.CAGED'!C33)/'3.CAGED'!C28*'3.CAGED'!C35*'3.CAGED'!C36*'3.CAGED'!C29/'3.CAGED'!C30,4)</f>
        <v>3.6999999999999998E-2</v>
      </c>
      <c r="D27" s="5"/>
      <c r="G27" s="7"/>
    </row>
    <row r="28" spans="1:8" ht="15.75" x14ac:dyDescent="0.2">
      <c r="A28" s="83" t="s">
        <v>177</v>
      </c>
      <c r="B28" s="75" t="s">
        <v>179</v>
      </c>
      <c r="C28" s="76">
        <f>ROUND(('3.CAGED'!C32/'3.CAGED'!C30)*'3.CAGED'!C29/12,4)</f>
        <v>2.7000000000000001E-3</v>
      </c>
      <c r="D28" s="5"/>
    </row>
    <row r="29" spans="1:8" ht="15.75" x14ac:dyDescent="0.2">
      <c r="A29" s="89" t="s">
        <v>180</v>
      </c>
      <c r="B29" s="90" t="s">
        <v>181</v>
      </c>
      <c r="C29" s="91">
        <f>SUM(C24:C28)</f>
        <v>0.1336</v>
      </c>
      <c r="D29" s="6"/>
    </row>
    <row r="30" spans="1:8" ht="15.75" x14ac:dyDescent="0.2">
      <c r="A30" s="87"/>
      <c r="B30" s="77"/>
      <c r="C30" s="78"/>
      <c r="D30" s="6"/>
    </row>
    <row r="31" spans="1:8" ht="15.75" x14ac:dyDescent="0.2">
      <c r="A31" s="83" t="s">
        <v>182</v>
      </c>
      <c r="B31" s="75" t="s">
        <v>183</v>
      </c>
      <c r="C31" s="76">
        <f>ROUND(C14*C22,4)</f>
        <v>6.3200000000000006E-2</v>
      </c>
      <c r="D31" s="5"/>
    </row>
    <row r="32" spans="1:8" ht="31.5" x14ac:dyDescent="0.2">
      <c r="A32" s="83" t="s">
        <v>184</v>
      </c>
      <c r="B32" s="80" t="s">
        <v>185</v>
      </c>
      <c r="C32" s="76">
        <f>ROUND((C24*C14),4)</f>
        <v>1.41E-2</v>
      </c>
      <c r="D32" s="5"/>
    </row>
    <row r="33" spans="1:4" ht="15.75" x14ac:dyDescent="0.2">
      <c r="A33" s="89" t="s">
        <v>186</v>
      </c>
      <c r="B33" s="90" t="s">
        <v>187</v>
      </c>
      <c r="C33" s="91">
        <f>SUM(C31:C32)</f>
        <v>7.7300000000000008E-2</v>
      </c>
      <c r="D33" s="6"/>
    </row>
    <row r="34" spans="1:4" ht="16.5" thickBot="1" x14ac:dyDescent="0.25">
      <c r="A34" s="88"/>
      <c r="B34" s="81" t="s">
        <v>188</v>
      </c>
      <c r="C34" s="82">
        <f>C33+C29+C22+C14</f>
        <v>0.75060000000000004</v>
      </c>
      <c r="D34" s="6"/>
    </row>
    <row r="35" spans="1:4" ht="15" x14ac:dyDescent="0.2">
      <c r="A35" s="5"/>
      <c r="B35" s="9"/>
      <c r="C35" s="10"/>
      <c r="D35" s="11"/>
    </row>
    <row r="36" spans="1:4" ht="14.25" x14ac:dyDescent="0.2">
      <c r="A36" s="5"/>
      <c r="B36" s="5"/>
      <c r="C36" s="12"/>
      <c r="D36" s="13"/>
    </row>
    <row r="37" spans="1:4" ht="14.25" x14ac:dyDescent="0.2">
      <c r="A37" s="5"/>
      <c r="B37" s="5"/>
      <c r="C37" s="12"/>
      <c r="D37" s="5"/>
    </row>
    <row r="38" spans="1:4" ht="14.25" x14ac:dyDescent="0.2">
      <c r="A38" s="5"/>
      <c r="B38" s="5"/>
      <c r="C38" s="12"/>
      <c r="D38" s="5"/>
    </row>
    <row r="39" spans="1:4" ht="14.25" x14ac:dyDescent="0.2">
      <c r="A39" s="5"/>
      <c r="B39" s="5"/>
      <c r="C39" s="12"/>
      <c r="D39" s="5"/>
    </row>
    <row r="40" spans="1:4" ht="15" x14ac:dyDescent="0.2">
      <c r="A40" s="5"/>
      <c r="B40" s="9"/>
      <c r="C40" s="10"/>
      <c r="D40" s="5"/>
    </row>
    <row r="41" spans="1:4" ht="15" x14ac:dyDescent="0.2">
      <c r="A41" s="6"/>
      <c r="B41" s="9"/>
      <c r="C41" s="10"/>
      <c r="D41" s="6"/>
    </row>
    <row r="42" spans="1:4" ht="16.5" x14ac:dyDescent="0.2">
      <c r="A42" s="14"/>
    </row>
    <row r="43" spans="1:4" x14ac:dyDescent="0.2">
      <c r="A43" s="15"/>
      <c r="B43" s="16"/>
      <c r="C43" s="16"/>
    </row>
    <row r="44" spans="1:4" ht="14.25" x14ac:dyDescent="0.2">
      <c r="A44" s="5"/>
      <c r="B44" s="17"/>
      <c r="C44" s="16"/>
    </row>
    <row r="45" spans="1:4" ht="14.25" x14ac:dyDescent="0.2">
      <c r="A45" s="5"/>
      <c r="B45" s="17"/>
      <c r="C45" s="5"/>
    </row>
    <row r="46" spans="1:4" ht="14.25" x14ac:dyDescent="0.2">
      <c r="A46" s="5"/>
      <c r="B46" s="12"/>
      <c r="C46" s="16"/>
    </row>
    <row r="47" spans="1:4" ht="14.25" x14ac:dyDescent="0.2">
      <c r="A47" s="5"/>
      <c r="B47" s="17"/>
      <c r="C47" s="5"/>
    </row>
    <row r="48" spans="1:4" ht="14.25" x14ac:dyDescent="0.2">
      <c r="A48" s="5"/>
      <c r="B48" s="12"/>
      <c r="C48" s="16"/>
    </row>
    <row r="49" spans="1:3" ht="14.25" x14ac:dyDescent="0.2">
      <c r="A49" s="5"/>
      <c r="B49" s="17"/>
      <c r="C49" s="5"/>
    </row>
    <row r="50" spans="1:3" ht="14.25" x14ac:dyDescent="0.2">
      <c r="A50" s="5"/>
      <c r="B50" s="12"/>
      <c r="C50" s="16"/>
    </row>
    <row r="51" spans="1:3" ht="14.25" x14ac:dyDescent="0.2">
      <c r="A51" s="5"/>
      <c r="B51" s="17"/>
      <c r="C51" s="5"/>
    </row>
    <row r="52" spans="1:3" ht="14.25" x14ac:dyDescent="0.2">
      <c r="A52" s="5"/>
      <c r="B52" s="12"/>
      <c r="C52" s="16"/>
    </row>
    <row r="53" spans="1:3" ht="16.5" x14ac:dyDescent="0.2">
      <c r="A53" s="14"/>
    </row>
    <row r="56" spans="1:3" x14ac:dyDescent="0.2">
      <c r="A56" s="18"/>
    </row>
  </sheetData>
  <mergeCells count="1">
    <mergeCell ref="A4:C4"/>
  </mergeCells>
  <pageMargins left="1.6929133858267718" right="0.51181102362204722" top="1.5354330708661419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1"/>
  <sheetViews>
    <sheetView zoomScaleNormal="100" workbookViewId="0">
      <selection sqref="A1:L1"/>
    </sheetView>
  </sheetViews>
  <sheetFormatPr defaultColWidth="9.140625" defaultRowHeight="15.75" x14ac:dyDescent="0.25"/>
  <cols>
    <col min="1" max="1" width="8.5703125" style="20" customWidth="1"/>
    <col min="2" max="2" width="67.140625" style="20" customWidth="1"/>
    <col min="3" max="3" width="13.7109375" style="20" customWidth="1"/>
    <col min="4" max="4" width="10.28515625" style="20" hidden="1" customWidth="1"/>
    <col min="5" max="5" width="13.7109375" style="20" hidden="1" customWidth="1"/>
    <col min="6" max="6" width="14.42578125" style="20" hidden="1" customWidth="1"/>
    <col min="7" max="7" width="12.7109375" style="20" hidden="1" customWidth="1"/>
    <col min="8" max="8" width="4.42578125" style="20" hidden="1" customWidth="1"/>
    <col min="9" max="9" width="6.85546875" style="20" hidden="1" customWidth="1"/>
    <col min="10" max="10" width="3.28515625" style="20" hidden="1" customWidth="1"/>
    <col min="11" max="11" width="0" style="20" hidden="1" customWidth="1"/>
    <col min="12" max="16384" width="9.140625" style="20"/>
  </cols>
  <sheetData>
    <row r="1" spans="1:12" ht="33.75" customHeight="1" x14ac:dyDescent="0.25">
      <c r="A1" s="577" t="s">
        <v>275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</row>
    <row r="2" spans="1:12" ht="10.5" customHeight="1" x14ac:dyDescent="0.25"/>
    <row r="3" spans="1:12" x14ac:dyDescent="0.25">
      <c r="A3" s="505" t="s">
        <v>199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</row>
    <row r="4" spans="1:12" x14ac:dyDescent="0.25">
      <c r="A4" s="467" t="s">
        <v>276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</row>
    <row r="5" spans="1:12" ht="30.75" customHeight="1" x14ac:dyDescent="0.25">
      <c r="A5" s="578" t="s">
        <v>277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</row>
    <row r="6" spans="1:12" x14ac:dyDescent="0.25">
      <c r="A6" s="467" t="s">
        <v>278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1:12" ht="31.5" customHeight="1" x14ac:dyDescent="0.25">
      <c r="A7" s="578" t="s">
        <v>279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</row>
    <row r="8" spans="1:12" x14ac:dyDescent="0.25">
      <c r="A8" s="467" t="s">
        <v>280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</row>
    <row r="9" spans="1:12" x14ac:dyDescent="0.25">
      <c r="A9" s="467" t="s">
        <v>281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</row>
    <row r="10" spans="1:12" ht="16.5" thickBot="1" x14ac:dyDescent="0.3"/>
    <row r="11" spans="1:12" x14ac:dyDescent="0.25">
      <c r="B11" s="575" t="s">
        <v>223</v>
      </c>
      <c r="C11" s="576"/>
    </row>
    <row r="12" spans="1:12" x14ac:dyDescent="0.25">
      <c r="B12" s="569" t="s">
        <v>198</v>
      </c>
      <c r="C12" s="570"/>
    </row>
    <row r="13" spans="1:12" x14ac:dyDescent="0.25">
      <c r="B13" s="66" t="s">
        <v>121</v>
      </c>
      <c r="C13" s="51">
        <v>2262</v>
      </c>
    </row>
    <row r="14" spans="1:12" x14ac:dyDescent="0.25">
      <c r="B14" s="67" t="s">
        <v>122</v>
      </c>
      <c r="C14" s="52">
        <v>3286</v>
      </c>
    </row>
    <row r="15" spans="1:12" x14ac:dyDescent="0.25">
      <c r="B15" s="68" t="s">
        <v>123</v>
      </c>
      <c r="C15" s="53">
        <v>84</v>
      </c>
    </row>
    <row r="16" spans="1:12" x14ac:dyDescent="0.25">
      <c r="B16" s="68" t="s">
        <v>124</v>
      </c>
      <c r="C16" s="53">
        <v>2311</v>
      </c>
    </row>
    <row r="17" spans="1:7" x14ac:dyDescent="0.25">
      <c r="B17" s="68" t="s">
        <v>125</v>
      </c>
      <c r="C17" s="53">
        <v>330</v>
      </c>
    </row>
    <row r="18" spans="1:7" x14ac:dyDescent="0.25">
      <c r="B18" s="68" t="s">
        <v>126</v>
      </c>
      <c r="C18" s="53">
        <v>23</v>
      </c>
    </row>
    <row r="19" spans="1:7" x14ac:dyDescent="0.25">
      <c r="B19" s="68" t="s">
        <v>127</v>
      </c>
      <c r="C19" s="53">
        <v>510</v>
      </c>
    </row>
    <row r="20" spans="1:7" x14ac:dyDescent="0.25">
      <c r="B20" s="68" t="s">
        <v>128</v>
      </c>
      <c r="C20" s="53">
        <v>1</v>
      </c>
    </row>
    <row r="21" spans="1:7" x14ac:dyDescent="0.25">
      <c r="B21" s="68" t="s">
        <v>129</v>
      </c>
      <c r="C21" s="53">
        <v>27</v>
      </c>
    </row>
    <row r="22" spans="1:7" x14ac:dyDescent="0.25">
      <c r="B22" s="69" t="s">
        <v>130</v>
      </c>
      <c r="C22" s="54">
        <v>0</v>
      </c>
    </row>
    <row r="23" spans="1:7" x14ac:dyDescent="0.25">
      <c r="A23" s="20" t="s">
        <v>131</v>
      </c>
      <c r="B23" s="571" t="s">
        <v>273</v>
      </c>
      <c r="C23" s="572"/>
    </row>
    <row r="24" spans="1:7" x14ac:dyDescent="0.25">
      <c r="B24" s="70" t="s">
        <v>244</v>
      </c>
      <c r="C24" s="55">
        <v>6537</v>
      </c>
    </row>
    <row r="25" spans="1:7" x14ac:dyDescent="0.25">
      <c r="B25" s="68" t="s">
        <v>245</v>
      </c>
      <c r="C25" s="53">
        <v>5513</v>
      </c>
    </row>
    <row r="26" spans="1:7" x14ac:dyDescent="0.25">
      <c r="B26" s="69" t="s">
        <v>246</v>
      </c>
      <c r="C26" s="54">
        <v>1024</v>
      </c>
    </row>
    <row r="27" spans="1:7" x14ac:dyDescent="0.25">
      <c r="B27" s="573"/>
      <c r="C27" s="574"/>
    </row>
    <row r="28" spans="1:7" x14ac:dyDescent="0.25">
      <c r="B28" s="71" t="s">
        <v>132</v>
      </c>
      <c r="C28" s="57">
        <f>MEDIAN(C13,C14)/MEDIAN(C24,C25)</f>
        <v>0.46041493775933612</v>
      </c>
      <c r="G28" s="20">
        <f>12/C28</f>
        <v>26.063446286950253</v>
      </c>
    </row>
    <row r="29" spans="1:7" x14ac:dyDescent="0.25">
      <c r="B29" s="72" t="s">
        <v>133</v>
      </c>
      <c r="C29" s="58">
        <f>C16/MEDIAN(C24,C25)</f>
        <v>0.38356846473029044</v>
      </c>
    </row>
    <row r="30" spans="1:7" x14ac:dyDescent="0.25">
      <c r="B30" s="72" t="s">
        <v>134</v>
      </c>
      <c r="C30" s="59">
        <v>360</v>
      </c>
    </row>
    <row r="31" spans="1:7" x14ac:dyDescent="0.25">
      <c r="B31" s="72" t="s">
        <v>233</v>
      </c>
      <c r="C31" s="59">
        <v>10</v>
      </c>
    </row>
    <row r="32" spans="1:7" x14ac:dyDescent="0.25">
      <c r="B32" s="72" t="s">
        <v>234</v>
      </c>
      <c r="C32" s="59">
        <v>30</v>
      </c>
      <c r="G32" s="20">
        <f>TRUNC(G37)</f>
        <v>2</v>
      </c>
    </row>
    <row r="33" spans="2:11" x14ac:dyDescent="0.25">
      <c r="B33" s="72" t="s">
        <v>235</v>
      </c>
      <c r="C33" s="59">
        <v>30</v>
      </c>
    </row>
    <row r="34" spans="2:11" s="61" customFormat="1" x14ac:dyDescent="0.25">
      <c r="B34" s="72" t="s">
        <v>135</v>
      </c>
      <c r="C34" s="60">
        <f>MEDIAN(C24,C25)</f>
        <v>6025</v>
      </c>
    </row>
    <row r="35" spans="2:11" s="61" customFormat="1" x14ac:dyDescent="0.25">
      <c r="B35" s="72" t="s">
        <v>43</v>
      </c>
      <c r="C35" s="62">
        <v>0.08</v>
      </c>
      <c r="K35" s="61">
        <f>IF(C39&gt;12,C39-12,C39)</f>
        <v>14.063446286950253</v>
      </c>
    </row>
    <row r="36" spans="2:11" s="61" customFormat="1" x14ac:dyDescent="0.25">
      <c r="B36" s="72" t="s">
        <v>136</v>
      </c>
      <c r="C36" s="62">
        <v>0.5</v>
      </c>
      <c r="K36" s="61" t="e">
        <f>IF(#REF!&gt;12,#REF!-12,#REF!)</f>
        <v>#REF!</v>
      </c>
    </row>
    <row r="37" spans="2:11" s="61" customFormat="1" x14ac:dyDescent="0.25">
      <c r="B37" s="72" t="s">
        <v>137</v>
      </c>
      <c r="C37" s="63">
        <f>((1/C28)-TRUNC(E37))</f>
        <v>0.1719538572458541</v>
      </c>
      <c r="D37" s="61">
        <f>TRUNC(E37)</f>
        <v>2</v>
      </c>
      <c r="E37" s="61">
        <f>1/C28</f>
        <v>2.1719538572458541</v>
      </c>
      <c r="F37" s="61">
        <f>((1/C28)-TRUNC(E37))</f>
        <v>0.1719538572458541</v>
      </c>
      <c r="G37" s="61">
        <f>12*F37</f>
        <v>2.0634462869502492</v>
      </c>
      <c r="K37" s="61" t="e">
        <f>IF(#REF!&gt;12,#REF!-12,#REF!)</f>
        <v>#REF!</v>
      </c>
    </row>
    <row r="38" spans="2:11" s="61" customFormat="1" ht="16.5" thickBot="1" x14ac:dyDescent="0.3">
      <c r="B38" s="73" t="s">
        <v>138</v>
      </c>
      <c r="C38" s="64">
        <f>30+D38</f>
        <v>36</v>
      </c>
      <c r="D38" s="61">
        <f>3*D37</f>
        <v>6</v>
      </c>
      <c r="G38" s="61">
        <f>G37/12*40/360</f>
        <v>1.9105984138428234E-2</v>
      </c>
      <c r="K38" s="61" t="e">
        <f>IF(#REF!&gt;12,#REF!-12,#REF!)</f>
        <v>#REF!</v>
      </c>
    </row>
    <row r="39" spans="2:11" s="61" customFormat="1" ht="16.5" thickBot="1" x14ac:dyDescent="0.3">
      <c r="B39" s="74" t="s">
        <v>274</v>
      </c>
      <c r="C39" s="65">
        <f>12/C28</f>
        <v>26.063446286950253</v>
      </c>
      <c r="K39" s="61" t="e">
        <f>IF(#REF!&gt;12,#REF!-12,#REF!)</f>
        <v>#REF!</v>
      </c>
    </row>
    <row r="40" spans="2:11" x14ac:dyDescent="0.25">
      <c r="K40" s="20" t="e">
        <f t="shared" ref="K40:K41" si="0">IF(K39&gt;12,K39-12,K39)</f>
        <v>#REF!</v>
      </c>
    </row>
    <row r="41" spans="2:11" x14ac:dyDescent="0.25">
      <c r="K41" s="20" t="e">
        <f t="shared" si="0"/>
        <v>#REF!</v>
      </c>
    </row>
  </sheetData>
  <mergeCells count="12">
    <mergeCell ref="B12:C12"/>
    <mergeCell ref="B23:C23"/>
    <mergeCell ref="B27:C27"/>
    <mergeCell ref="B11:C11"/>
    <mergeCell ref="A1:L1"/>
    <mergeCell ref="A3:L3"/>
    <mergeCell ref="A4:L4"/>
    <mergeCell ref="A5:L5"/>
    <mergeCell ref="A6:L6"/>
    <mergeCell ref="A7:L7"/>
    <mergeCell ref="A8:L8"/>
    <mergeCell ref="A9:L9"/>
  </mergeCells>
  <pageMargins left="0.90551181102362199" right="0.51181102362204722" top="0.74803149606299213" bottom="0.74803149606299213" header="0.31496062992125984" footer="0.31496062992125984"/>
  <pageSetup paperSize="9" scale="90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zoomScaleNormal="100" workbookViewId="0">
      <selection activeCell="J5" sqref="J5"/>
    </sheetView>
  </sheetViews>
  <sheetFormatPr defaultColWidth="9.140625" defaultRowHeight="15.75" x14ac:dyDescent="0.25"/>
  <cols>
    <col min="1" max="1" width="41.85546875" style="20" bestFit="1" customWidth="1"/>
    <col min="2" max="2" width="5.5703125" style="20" bestFit="1" customWidth="1"/>
    <col min="3" max="3" width="9.140625" style="20"/>
    <col min="4" max="4" width="9.7109375" style="20" bestFit="1" customWidth="1"/>
    <col min="5" max="5" width="8" style="28" bestFit="1" customWidth="1"/>
    <col min="6" max="6" width="9.7109375" style="20" bestFit="1" customWidth="1"/>
    <col min="7" max="16384" width="9.140625" style="20"/>
  </cols>
  <sheetData>
    <row r="1" spans="1:8" x14ac:dyDescent="0.25">
      <c r="A1" s="596" t="s">
        <v>197</v>
      </c>
      <c r="B1" s="596"/>
      <c r="C1" s="596"/>
      <c r="D1" s="596"/>
      <c r="E1" s="596"/>
      <c r="F1" s="596"/>
    </row>
    <row r="2" spans="1:8" ht="16.5" thickBot="1" x14ac:dyDescent="0.3">
      <c r="A2" s="586" t="s">
        <v>269</v>
      </c>
      <c r="B2" s="586"/>
      <c r="C2" s="586"/>
      <c r="D2" s="586"/>
      <c r="E2" s="586"/>
      <c r="F2" s="586"/>
    </row>
    <row r="3" spans="1:8" ht="16.5" thickBot="1" x14ac:dyDescent="0.3">
      <c r="A3" s="587" t="s">
        <v>270</v>
      </c>
      <c r="B3" s="588"/>
      <c r="C3" s="588"/>
      <c r="D3" s="588"/>
      <c r="E3" s="588"/>
      <c r="F3" s="589"/>
    </row>
    <row r="4" spans="1:8" s="36" customFormat="1" ht="12" customHeight="1" x14ac:dyDescent="0.2">
      <c r="A4" s="590" t="s">
        <v>140</v>
      </c>
      <c r="B4" s="592" t="s">
        <v>271</v>
      </c>
      <c r="C4" s="592" t="s">
        <v>141</v>
      </c>
      <c r="D4" s="594" t="s">
        <v>236</v>
      </c>
      <c r="E4" s="594"/>
      <c r="F4" s="595"/>
    </row>
    <row r="5" spans="1:8" s="36" customFormat="1" ht="15.75" customHeight="1" thickBot="1" x14ac:dyDescent="0.25">
      <c r="A5" s="591"/>
      <c r="B5" s="593"/>
      <c r="C5" s="593"/>
      <c r="D5" s="38" t="s">
        <v>189</v>
      </c>
      <c r="E5" s="38" t="s">
        <v>190</v>
      </c>
      <c r="F5" s="39" t="s">
        <v>191</v>
      </c>
    </row>
    <row r="6" spans="1:8" x14ac:dyDescent="0.25">
      <c r="A6" s="22" t="s">
        <v>77</v>
      </c>
      <c r="B6" s="23" t="s">
        <v>78</v>
      </c>
      <c r="C6" s="44">
        <v>2.9700000000000001E-2</v>
      </c>
      <c r="D6" s="40">
        <v>2.9700000000000001E-2</v>
      </c>
      <c r="E6" s="40">
        <v>5.0799999999999998E-2</v>
      </c>
      <c r="F6" s="41">
        <v>6.2700000000000006E-2</v>
      </c>
    </row>
    <row r="7" spans="1:8" x14ac:dyDescent="0.25">
      <c r="A7" s="24" t="s">
        <v>79</v>
      </c>
      <c r="B7" s="25" t="s">
        <v>80</v>
      </c>
      <c r="C7" s="45">
        <v>8.6E-3</v>
      </c>
      <c r="D7" s="33">
        <f>0.3%+0.56%</f>
        <v>8.6E-3</v>
      </c>
      <c r="E7" s="33">
        <f>0.48%+0.85%</f>
        <v>1.3299999999999999E-2</v>
      </c>
      <c r="F7" s="34">
        <f>0.82%+0.89%</f>
        <v>1.7099999999999997E-2</v>
      </c>
    </row>
    <row r="8" spans="1:8" x14ac:dyDescent="0.25">
      <c r="A8" s="24" t="s">
        <v>81</v>
      </c>
      <c r="B8" s="25" t="s">
        <v>82</v>
      </c>
      <c r="C8" s="45">
        <v>7.7799999999999994E-2</v>
      </c>
      <c r="D8" s="33">
        <v>7.7799999999999994E-2</v>
      </c>
      <c r="E8" s="33">
        <v>0.1085</v>
      </c>
      <c r="F8" s="34">
        <v>0.13550000000000001</v>
      </c>
    </row>
    <row r="9" spans="1:8" x14ac:dyDescent="0.25">
      <c r="A9" s="24" t="s">
        <v>83</v>
      </c>
      <c r="B9" s="25" t="s">
        <v>84</v>
      </c>
      <c r="C9" s="46">
        <f>(1+E9)^(E10/252)-1</f>
        <v>2.1588809811843301E-2</v>
      </c>
      <c r="D9" s="33"/>
      <c r="E9" s="30">
        <v>13.75</v>
      </c>
      <c r="F9" s="34"/>
    </row>
    <row r="10" spans="1:8" x14ac:dyDescent="0.25">
      <c r="A10" s="24" t="s">
        <v>85</v>
      </c>
      <c r="B10" s="579" t="s">
        <v>86</v>
      </c>
      <c r="C10" s="45">
        <v>2.5000000000000001E-2</v>
      </c>
      <c r="D10" s="25"/>
      <c r="E10" s="30">
        <v>2</v>
      </c>
      <c r="F10" s="35"/>
    </row>
    <row r="11" spans="1:8" ht="16.5" thickBot="1" x14ac:dyDescent="0.3">
      <c r="A11" s="26" t="s">
        <v>87</v>
      </c>
      <c r="B11" s="580"/>
      <c r="C11" s="47">
        <v>3.6499999999999998E-2</v>
      </c>
      <c r="D11" s="42"/>
      <c r="E11" s="42"/>
      <c r="F11" s="43"/>
      <c r="H11" s="358"/>
    </row>
    <row r="12" spans="1:8" x14ac:dyDescent="0.25">
      <c r="A12" s="581" t="s">
        <v>272</v>
      </c>
      <c r="B12" s="582"/>
      <c r="C12" s="582"/>
      <c r="D12" s="582"/>
      <c r="E12" s="582"/>
      <c r="F12" s="583"/>
    </row>
    <row r="13" spans="1:8" ht="16.5" thickBot="1" x14ac:dyDescent="0.3">
      <c r="A13" s="581" t="s">
        <v>88</v>
      </c>
      <c r="B13" s="582"/>
      <c r="C13" s="582"/>
      <c r="D13" s="582"/>
      <c r="E13" s="582"/>
      <c r="F13" s="583"/>
    </row>
    <row r="14" spans="1:8" ht="16.5" thickBot="1" x14ac:dyDescent="0.3">
      <c r="A14" s="29" t="s">
        <v>89</v>
      </c>
      <c r="B14" s="584">
        <f>ROUND((((1+C6+C7)*(1+C8)*(1+C9))/(1-(C10+C11))-1),4)</f>
        <v>0.21820000000000001</v>
      </c>
      <c r="C14" s="585"/>
      <c r="D14" s="48">
        <v>0.21429999999999999</v>
      </c>
      <c r="E14" s="48">
        <v>0.2717</v>
      </c>
      <c r="F14" s="49">
        <v>0.3362</v>
      </c>
    </row>
    <row r="16" spans="1:8" ht="16.5" thickBot="1" x14ac:dyDescent="0.3">
      <c r="A16" s="586"/>
      <c r="B16" s="586"/>
      <c r="C16" s="586"/>
      <c r="D16" s="586"/>
      <c r="E16" s="586"/>
      <c r="F16" s="586"/>
    </row>
    <row r="17" spans="1:6" ht="16.5" thickBot="1" x14ac:dyDescent="0.3">
      <c r="A17" s="587" t="s">
        <v>356</v>
      </c>
      <c r="B17" s="588"/>
      <c r="C17" s="588"/>
      <c r="D17" s="588"/>
      <c r="E17" s="588"/>
      <c r="F17" s="589"/>
    </row>
    <row r="18" spans="1:6" x14ac:dyDescent="0.25">
      <c r="A18" s="590" t="s">
        <v>140</v>
      </c>
      <c r="B18" s="592" t="s">
        <v>271</v>
      </c>
      <c r="C18" s="592" t="s">
        <v>141</v>
      </c>
      <c r="D18" s="594" t="s">
        <v>236</v>
      </c>
      <c r="E18" s="594"/>
      <c r="F18" s="595"/>
    </row>
    <row r="19" spans="1:6" ht="16.5" thickBot="1" x14ac:dyDescent="0.3">
      <c r="A19" s="591"/>
      <c r="B19" s="593"/>
      <c r="C19" s="593"/>
      <c r="D19" s="38" t="s">
        <v>189</v>
      </c>
      <c r="E19" s="38" t="s">
        <v>190</v>
      </c>
      <c r="F19" s="39" t="s">
        <v>191</v>
      </c>
    </row>
    <row r="20" spans="1:6" x14ac:dyDescent="0.25">
      <c r="A20" s="22" t="s">
        <v>77</v>
      </c>
      <c r="B20" s="23" t="s">
        <v>78</v>
      </c>
      <c r="C20" s="44">
        <v>2.9700000000000001E-2</v>
      </c>
      <c r="D20" s="40">
        <v>2.9700000000000001E-2</v>
      </c>
      <c r="E20" s="40">
        <v>5.0799999999999998E-2</v>
      </c>
      <c r="F20" s="41">
        <v>6.2700000000000006E-2</v>
      </c>
    </row>
    <row r="21" spans="1:6" x14ac:dyDescent="0.25">
      <c r="A21" s="24" t="s">
        <v>79</v>
      </c>
      <c r="B21" s="25" t="s">
        <v>80</v>
      </c>
      <c r="C21" s="45">
        <v>8.6E-3</v>
      </c>
      <c r="D21" s="33">
        <f>0.3%+0.56%</f>
        <v>8.6E-3</v>
      </c>
      <c r="E21" s="33">
        <f>0.48%+0.85%</f>
        <v>1.3299999999999999E-2</v>
      </c>
      <c r="F21" s="34">
        <f>0.82%+0.89%</f>
        <v>1.7099999999999997E-2</v>
      </c>
    </row>
    <row r="22" spans="1:6" x14ac:dyDescent="0.25">
      <c r="A22" s="24" t="s">
        <v>81</v>
      </c>
      <c r="B22" s="25" t="s">
        <v>82</v>
      </c>
      <c r="C22" s="45">
        <v>0</v>
      </c>
      <c r="D22" s="33">
        <v>7.7799999999999994E-2</v>
      </c>
      <c r="E22" s="33">
        <v>0.1085</v>
      </c>
      <c r="F22" s="34">
        <v>0.13550000000000001</v>
      </c>
    </row>
    <row r="23" spans="1:6" x14ac:dyDescent="0.25">
      <c r="A23" s="24" t="s">
        <v>83</v>
      </c>
      <c r="B23" s="25" t="s">
        <v>84</v>
      </c>
      <c r="C23" s="46">
        <f>(1+E23)^(E24/252)-1</f>
        <v>2.1588809811843301E-2</v>
      </c>
      <c r="D23" s="33"/>
      <c r="E23" s="30">
        <v>13.75</v>
      </c>
      <c r="F23" s="34"/>
    </row>
    <row r="24" spans="1:6" x14ac:dyDescent="0.25">
      <c r="A24" s="24" t="s">
        <v>85</v>
      </c>
      <c r="B24" s="579" t="s">
        <v>86</v>
      </c>
      <c r="C24" s="45">
        <v>2.5000000000000001E-2</v>
      </c>
      <c r="D24" s="25"/>
      <c r="E24" s="30">
        <v>2</v>
      </c>
      <c r="F24" s="35"/>
    </row>
    <row r="25" spans="1:6" ht="16.5" thickBot="1" x14ac:dyDescent="0.3">
      <c r="A25" s="26" t="s">
        <v>87</v>
      </c>
      <c r="B25" s="580"/>
      <c r="C25" s="47">
        <v>3.6499999999999998E-2</v>
      </c>
      <c r="D25" s="42"/>
      <c r="E25" s="42"/>
      <c r="F25" s="43"/>
    </row>
    <row r="26" spans="1:6" x14ac:dyDescent="0.25">
      <c r="A26" s="581" t="s">
        <v>272</v>
      </c>
      <c r="B26" s="582"/>
      <c r="C26" s="582"/>
      <c r="D26" s="582"/>
      <c r="E26" s="582"/>
      <c r="F26" s="583"/>
    </row>
    <row r="27" spans="1:6" ht="16.5" thickBot="1" x14ac:dyDescent="0.3">
      <c r="A27" s="581" t="s">
        <v>88</v>
      </c>
      <c r="B27" s="582"/>
      <c r="C27" s="582"/>
      <c r="D27" s="582"/>
      <c r="E27" s="582"/>
      <c r="F27" s="583"/>
    </row>
    <row r="28" spans="1:6" ht="16.5" thickBot="1" x14ac:dyDescent="0.3">
      <c r="A28" s="29" t="s">
        <v>89</v>
      </c>
      <c r="B28" s="584">
        <f>ROUND((((1+C20+C21)*(1+C22)*(1+C23))/(1-(C24+C25))-1),4)</f>
        <v>0.13020000000000001</v>
      </c>
      <c r="C28" s="585"/>
      <c r="D28" s="48">
        <v>0.21429999999999999</v>
      </c>
      <c r="E28" s="48">
        <v>0.2717</v>
      </c>
      <c r="F28" s="49">
        <v>0.3362</v>
      </c>
    </row>
  </sheetData>
  <mergeCells count="21">
    <mergeCell ref="A3:F3"/>
    <mergeCell ref="A1:F1"/>
    <mergeCell ref="A2:F2"/>
    <mergeCell ref="B14:C14"/>
    <mergeCell ref="A12:F12"/>
    <mergeCell ref="A13:F13"/>
    <mergeCell ref="C4:C5"/>
    <mergeCell ref="B4:B5"/>
    <mergeCell ref="A4:A5"/>
    <mergeCell ref="B10:B11"/>
    <mergeCell ref="D4:F4"/>
    <mergeCell ref="B24:B25"/>
    <mergeCell ref="A26:F26"/>
    <mergeCell ref="A27:F27"/>
    <mergeCell ref="B28:C28"/>
    <mergeCell ref="A16:F16"/>
    <mergeCell ref="A17:F17"/>
    <mergeCell ref="A18:A19"/>
    <mergeCell ref="B18:B19"/>
    <mergeCell ref="C18:C19"/>
    <mergeCell ref="D18:F18"/>
  </mergeCells>
  <pageMargins left="0.9055118110236221" right="0.51181102362204722" top="2.3228346456692917" bottom="0.74803149606299213" header="0.31496062992125984" footer="0.31496062992125984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7"/>
  <sheetViews>
    <sheetView workbookViewId="0">
      <selection sqref="A1:B1"/>
    </sheetView>
  </sheetViews>
  <sheetFormatPr defaultColWidth="9.140625" defaultRowHeight="19.5" customHeight="1" x14ac:dyDescent="0.2"/>
  <cols>
    <col min="1" max="1" width="24.5703125" style="19" customWidth="1"/>
    <col min="2" max="2" width="20.85546875" style="19" customWidth="1"/>
    <col min="3" max="16384" width="9.140625" style="19"/>
  </cols>
  <sheetData>
    <row r="1" spans="1:2" ht="19.5" customHeight="1" thickBot="1" x14ac:dyDescent="0.25">
      <c r="A1" s="597" t="s">
        <v>225</v>
      </c>
      <c r="B1" s="598"/>
    </row>
    <row r="2" spans="1:2" s="50" customFormat="1" ht="19.5" customHeight="1" x14ac:dyDescent="0.2">
      <c r="A2" s="95" t="s">
        <v>200</v>
      </c>
      <c r="B2" s="96" t="s">
        <v>268</v>
      </c>
    </row>
    <row r="3" spans="1:2" ht="19.5" customHeight="1" x14ac:dyDescent="0.2">
      <c r="A3" s="94">
        <v>1</v>
      </c>
      <c r="B3" s="122">
        <v>33.629999999999995</v>
      </c>
    </row>
    <row r="4" spans="1:2" ht="19.5" customHeight="1" x14ac:dyDescent="0.2">
      <c r="A4" s="92">
        <v>2</v>
      </c>
      <c r="B4" s="123">
        <v>43.13</v>
      </c>
    </row>
    <row r="5" spans="1:2" ht="19.5" customHeight="1" x14ac:dyDescent="0.2">
      <c r="A5" s="92">
        <v>3</v>
      </c>
      <c r="B5" s="123">
        <v>48.68</v>
      </c>
    </row>
    <row r="6" spans="1:2" ht="19.5" customHeight="1" x14ac:dyDescent="0.2">
      <c r="A6" s="92">
        <v>4</v>
      </c>
      <c r="B6" s="123">
        <v>52.62</v>
      </c>
    </row>
    <row r="7" spans="1:2" ht="19.5" customHeight="1" x14ac:dyDescent="0.2">
      <c r="A7" s="92">
        <v>5</v>
      </c>
      <c r="B7" s="123">
        <v>55.679999999999993</v>
      </c>
    </row>
    <row r="8" spans="1:2" ht="19.5" customHeight="1" x14ac:dyDescent="0.2">
      <c r="A8" s="92">
        <v>6</v>
      </c>
      <c r="B8" s="123">
        <v>58.18</v>
      </c>
    </row>
    <row r="9" spans="1:2" ht="19.5" customHeight="1" x14ac:dyDescent="0.2">
      <c r="A9" s="92">
        <v>7</v>
      </c>
      <c r="B9" s="123">
        <v>60.29</v>
      </c>
    </row>
    <row r="10" spans="1:2" ht="19.5" customHeight="1" x14ac:dyDescent="0.2">
      <c r="A10" s="92">
        <v>8</v>
      </c>
      <c r="B10" s="123">
        <v>62.12</v>
      </c>
    </row>
    <row r="11" spans="1:2" ht="19.5" customHeight="1" x14ac:dyDescent="0.2">
      <c r="A11" s="92">
        <v>9</v>
      </c>
      <c r="B11" s="123">
        <v>63.73</v>
      </c>
    </row>
    <row r="12" spans="1:2" ht="19.5" customHeight="1" x14ac:dyDescent="0.2">
      <c r="A12" s="92">
        <v>10</v>
      </c>
      <c r="B12" s="123">
        <v>65.180000000000007</v>
      </c>
    </row>
    <row r="13" spans="1:2" ht="19.5" customHeight="1" x14ac:dyDescent="0.2">
      <c r="A13" s="92">
        <v>11</v>
      </c>
      <c r="B13" s="123">
        <v>66.47999999999999</v>
      </c>
    </row>
    <row r="14" spans="1:2" ht="19.5" customHeight="1" x14ac:dyDescent="0.2">
      <c r="A14" s="92">
        <v>12</v>
      </c>
      <c r="B14" s="123">
        <v>67.67</v>
      </c>
    </row>
    <row r="15" spans="1:2" ht="19.5" customHeight="1" x14ac:dyDescent="0.2">
      <c r="A15" s="92">
        <v>13</v>
      </c>
      <c r="B15" s="123">
        <v>68.77</v>
      </c>
    </row>
    <row r="16" spans="1:2" ht="19.5" customHeight="1" x14ac:dyDescent="0.2">
      <c r="A16" s="92">
        <v>14</v>
      </c>
      <c r="B16" s="123">
        <v>69.789999999999992</v>
      </c>
    </row>
    <row r="17" spans="1:2" ht="19.5" customHeight="1" thickBot="1" x14ac:dyDescent="0.25">
      <c r="A17" s="93">
        <v>15</v>
      </c>
      <c r="B17" s="124">
        <v>70.73</v>
      </c>
    </row>
  </sheetData>
  <mergeCells count="1">
    <mergeCell ref="A1:B1"/>
  </mergeCells>
  <pageMargins left="2.0866141732283467" right="0.51181102362204722" top="1.9291338582677167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>
      <selection sqref="A1:H1"/>
    </sheetView>
  </sheetViews>
  <sheetFormatPr defaultColWidth="9.140625" defaultRowHeight="15.75" x14ac:dyDescent="0.25"/>
  <cols>
    <col min="1" max="1" width="8.5703125" style="20" customWidth="1"/>
    <col min="2" max="3" width="9.140625" style="20"/>
    <col min="4" max="4" width="11.28515625" style="20" customWidth="1"/>
    <col min="5" max="5" width="9.140625" style="20"/>
    <col min="6" max="6" width="2.140625" style="20" bestFit="1" customWidth="1"/>
    <col min="7" max="7" width="9.140625" style="20"/>
    <col min="8" max="8" width="10.5703125" style="20" customWidth="1"/>
    <col min="9" max="16384" width="9.140625" style="20"/>
  </cols>
  <sheetData>
    <row r="1" spans="1:8" ht="16.5" thickBot="1" x14ac:dyDescent="0.3">
      <c r="A1" s="604" t="s">
        <v>226</v>
      </c>
      <c r="B1" s="605"/>
      <c r="C1" s="605"/>
      <c r="D1" s="605"/>
      <c r="E1" s="605"/>
      <c r="F1" s="605"/>
      <c r="G1" s="605"/>
      <c r="H1" s="606"/>
    </row>
    <row r="2" spans="1:8" x14ac:dyDescent="0.25">
      <c r="A2" s="607"/>
      <c r="B2" s="608"/>
      <c r="C2" s="608"/>
      <c r="D2" s="608"/>
      <c r="E2" s="608"/>
      <c r="F2" s="608"/>
      <c r="G2" s="608"/>
      <c r="H2" s="609"/>
    </row>
    <row r="3" spans="1:8" x14ac:dyDescent="0.25">
      <c r="A3" s="610" t="s">
        <v>238</v>
      </c>
      <c r="B3" s="611"/>
      <c r="C3" s="611"/>
      <c r="D3" s="611"/>
      <c r="E3" s="611"/>
      <c r="F3" s="611"/>
      <c r="G3" s="611"/>
      <c r="H3" s="612"/>
    </row>
    <row r="4" spans="1:8" x14ac:dyDescent="0.25">
      <c r="A4" s="21"/>
      <c r="H4" s="56"/>
    </row>
    <row r="5" spans="1:8" ht="19.5" x14ac:dyDescent="0.35">
      <c r="A5" s="21"/>
      <c r="C5" s="99" t="s">
        <v>282</v>
      </c>
      <c r="D5" s="100" t="s">
        <v>289</v>
      </c>
      <c r="H5" s="56"/>
    </row>
    <row r="6" spans="1:8" x14ac:dyDescent="0.25">
      <c r="A6" s="21"/>
      <c r="C6" s="101"/>
      <c r="D6" s="97">
        <v>12</v>
      </c>
      <c r="H6" s="56"/>
    </row>
    <row r="7" spans="1:8" ht="18.75" x14ac:dyDescent="0.35">
      <c r="A7" s="21"/>
      <c r="C7" s="102" t="s">
        <v>286</v>
      </c>
      <c r="D7" s="602" t="s">
        <v>287</v>
      </c>
      <c r="E7" s="103" t="s">
        <v>283</v>
      </c>
      <c r="F7" s="602" t="s">
        <v>285</v>
      </c>
      <c r="G7" s="603" t="s">
        <v>288</v>
      </c>
      <c r="H7" s="56"/>
    </row>
    <row r="8" spans="1:8" x14ac:dyDescent="0.25">
      <c r="A8" s="21"/>
      <c r="D8" s="602"/>
      <c r="E8" s="97" t="s">
        <v>284</v>
      </c>
      <c r="F8" s="602"/>
      <c r="G8" s="603"/>
      <c r="H8" s="56"/>
    </row>
    <row r="9" spans="1:8" x14ac:dyDescent="0.25">
      <c r="A9" s="21"/>
      <c r="H9" s="56"/>
    </row>
    <row r="10" spans="1:8" x14ac:dyDescent="0.25">
      <c r="A10" s="21"/>
      <c r="H10" s="56"/>
    </row>
    <row r="11" spans="1:8" x14ac:dyDescent="0.25">
      <c r="A11" s="21"/>
      <c r="H11" s="56"/>
    </row>
    <row r="12" spans="1:8" ht="18.75" x14ac:dyDescent="0.35">
      <c r="A12" s="599" t="s">
        <v>290</v>
      </c>
      <c r="B12" s="600"/>
      <c r="C12" s="600"/>
      <c r="D12" s="600"/>
      <c r="E12" s="600"/>
      <c r="F12" s="600"/>
      <c r="G12" s="600"/>
      <c r="H12" s="601"/>
    </row>
    <row r="13" spans="1:8" x14ac:dyDescent="0.25">
      <c r="A13" s="599" t="s">
        <v>291</v>
      </c>
      <c r="B13" s="600"/>
      <c r="C13" s="600"/>
      <c r="D13" s="600"/>
      <c r="E13" s="600"/>
      <c r="F13" s="600"/>
      <c r="G13" s="600"/>
      <c r="H13" s="601"/>
    </row>
    <row r="14" spans="1:8" ht="18.75" x14ac:dyDescent="0.35">
      <c r="A14" s="599" t="s">
        <v>292</v>
      </c>
      <c r="B14" s="600"/>
      <c r="C14" s="600"/>
      <c r="D14" s="600"/>
      <c r="E14" s="600"/>
      <c r="F14" s="600"/>
      <c r="G14" s="600"/>
      <c r="H14" s="601"/>
    </row>
    <row r="15" spans="1:8" ht="18.75" x14ac:dyDescent="0.35">
      <c r="A15" s="599" t="s">
        <v>293</v>
      </c>
      <c r="B15" s="600"/>
      <c r="C15" s="600"/>
      <c r="D15" s="600"/>
      <c r="E15" s="600"/>
      <c r="F15" s="600"/>
      <c r="G15" s="600"/>
      <c r="H15" s="601"/>
    </row>
    <row r="16" spans="1:8" ht="18.75" x14ac:dyDescent="0.35">
      <c r="A16" s="599" t="s">
        <v>294</v>
      </c>
      <c r="B16" s="600"/>
      <c r="C16" s="600"/>
      <c r="D16" s="600"/>
      <c r="E16" s="600"/>
      <c r="F16" s="600"/>
      <c r="G16" s="600"/>
      <c r="H16" s="601"/>
    </row>
    <row r="17" spans="1:8" x14ac:dyDescent="0.25">
      <c r="A17" s="599" t="s">
        <v>295</v>
      </c>
      <c r="B17" s="600"/>
      <c r="C17" s="600"/>
      <c r="D17" s="600"/>
      <c r="E17" s="600"/>
      <c r="F17" s="600"/>
      <c r="G17" s="600"/>
      <c r="H17" s="601"/>
    </row>
    <row r="18" spans="1:8" ht="16.5" thickBot="1" x14ac:dyDescent="0.3">
      <c r="A18" s="104"/>
      <c r="B18" s="105"/>
      <c r="C18" s="105"/>
      <c r="D18" s="105"/>
      <c r="E18" s="105"/>
      <c r="F18" s="105"/>
      <c r="G18" s="105"/>
      <c r="H18" s="106"/>
    </row>
  </sheetData>
  <mergeCells count="12">
    <mergeCell ref="A17:H17"/>
    <mergeCell ref="D7:D8"/>
    <mergeCell ref="F7:F8"/>
    <mergeCell ref="G7:G8"/>
    <mergeCell ref="A1:H1"/>
    <mergeCell ref="A2:H2"/>
    <mergeCell ref="A3:H3"/>
    <mergeCell ref="A12:H12"/>
    <mergeCell ref="A13:H13"/>
    <mergeCell ref="A14:H14"/>
    <mergeCell ref="A15:H15"/>
    <mergeCell ref="A16:H16"/>
  </mergeCells>
  <pageMargins left="1.6929133858267718" right="0.51181102362204722" top="1.5354330708661419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6"/>
  <sheetViews>
    <sheetView view="pageBreakPreview" topLeftCell="A6" zoomScaleNormal="110" zoomScaleSheetLayoutView="100" workbookViewId="0">
      <selection activeCell="G20" sqref="G20"/>
    </sheetView>
  </sheetViews>
  <sheetFormatPr defaultColWidth="9.140625" defaultRowHeight="15.75" x14ac:dyDescent="0.25"/>
  <cols>
    <col min="1" max="1" width="58.28515625" style="20" customWidth="1"/>
    <col min="2" max="2" width="11.140625" style="20" bestFit="1" customWidth="1"/>
    <col min="3" max="3" width="11.28515625" style="20" bestFit="1" customWidth="1"/>
    <col min="4" max="16384" width="9.140625" style="20"/>
  </cols>
  <sheetData>
    <row r="1" spans="1:3" hidden="1" x14ac:dyDescent="0.25">
      <c r="A1" s="107"/>
    </row>
    <row r="2" spans="1:3" hidden="1" x14ac:dyDescent="0.25">
      <c r="A2" s="108"/>
    </row>
    <row r="3" spans="1:3" hidden="1" x14ac:dyDescent="0.25">
      <c r="A3" s="108"/>
    </row>
    <row r="4" spans="1:3" hidden="1" x14ac:dyDescent="0.25">
      <c r="A4" s="98"/>
    </row>
    <row r="5" spans="1:3" ht="16.5" hidden="1" thickBot="1" x14ac:dyDescent="0.3"/>
    <row r="6" spans="1:3" ht="16.5" thickBot="1" x14ac:dyDescent="0.3">
      <c r="A6" s="597" t="s">
        <v>265</v>
      </c>
      <c r="B6" s="613"/>
      <c r="C6" s="598"/>
    </row>
    <row r="7" spans="1:3" x14ac:dyDescent="0.25">
      <c r="A7" s="125"/>
      <c r="B7" s="126"/>
      <c r="C7" s="127"/>
    </row>
    <row r="8" spans="1:3" s="61" customFormat="1" x14ac:dyDescent="0.25">
      <c r="A8" s="119" t="s">
        <v>266</v>
      </c>
      <c r="B8" s="120" t="s">
        <v>296</v>
      </c>
      <c r="C8" s="121" t="s">
        <v>141</v>
      </c>
    </row>
    <row r="9" spans="1:3" x14ac:dyDescent="0.25">
      <c r="A9" s="31" t="s">
        <v>254</v>
      </c>
      <c r="B9" s="32" t="s">
        <v>247</v>
      </c>
      <c r="C9" s="112">
        <v>21121</v>
      </c>
    </row>
    <row r="10" spans="1:3" x14ac:dyDescent="0.25">
      <c r="A10" s="31" t="s">
        <v>255</v>
      </c>
      <c r="B10" s="32" t="s">
        <v>252</v>
      </c>
      <c r="C10" s="109">
        <v>0.66959599999999997</v>
      </c>
    </row>
    <row r="11" spans="1:3" x14ac:dyDescent="0.25">
      <c r="A11" s="31" t="s">
        <v>256</v>
      </c>
      <c r="B11" s="32" t="s">
        <v>253</v>
      </c>
      <c r="C11" s="113">
        <f>C9*C10/1000</f>
        <v>14.142537116</v>
      </c>
    </row>
    <row r="12" spans="1:3" x14ac:dyDescent="0.25">
      <c r="A12" s="31" t="s">
        <v>262</v>
      </c>
      <c r="B12" s="32" t="s">
        <v>248</v>
      </c>
      <c r="C12" s="445">
        <f>(C11*30)</f>
        <v>424.27611347999999</v>
      </c>
    </row>
    <row r="13" spans="1:3" x14ac:dyDescent="0.25">
      <c r="A13" s="31" t="s">
        <v>258</v>
      </c>
      <c r="B13" s="32" t="s">
        <v>93</v>
      </c>
      <c r="C13" s="115">
        <v>6</v>
      </c>
    </row>
    <row r="14" spans="1:3" x14ac:dyDescent="0.25">
      <c r="A14" s="31" t="s">
        <v>257</v>
      </c>
      <c r="B14" s="32" t="s">
        <v>253</v>
      </c>
      <c r="C14" s="113">
        <f>IFERROR(C11*7/C13,0)</f>
        <v>16.499626635333332</v>
      </c>
    </row>
    <row r="15" spans="1:3" x14ac:dyDescent="0.25">
      <c r="A15" s="31" t="s">
        <v>249</v>
      </c>
      <c r="B15" s="32" t="s">
        <v>250</v>
      </c>
      <c r="C15" s="114">
        <v>500</v>
      </c>
    </row>
    <row r="16" spans="1:3" x14ac:dyDescent="0.25">
      <c r="A16" s="31" t="s">
        <v>263</v>
      </c>
      <c r="B16" s="32"/>
      <c r="C16" s="117">
        <v>1</v>
      </c>
    </row>
    <row r="17" spans="1:3" x14ac:dyDescent="0.25">
      <c r="A17" s="31" t="s">
        <v>264</v>
      </c>
      <c r="B17" s="32" t="s">
        <v>251</v>
      </c>
      <c r="C17" s="118">
        <v>15</v>
      </c>
    </row>
    <row r="18" spans="1:3" x14ac:dyDescent="0.25">
      <c r="A18" s="31" t="s">
        <v>259</v>
      </c>
      <c r="B18" s="32" t="s">
        <v>248</v>
      </c>
      <c r="C18" s="114">
        <f>IF(AND(C17&gt;=15,C16=1),5.8,C17/2)</f>
        <v>5.8</v>
      </c>
    </row>
    <row r="19" spans="1:3" x14ac:dyDescent="0.25">
      <c r="A19" s="31" t="s">
        <v>260</v>
      </c>
      <c r="B19" s="32"/>
      <c r="C19" s="113">
        <f>IFERROR(C14/C18,0)</f>
        <v>2.8447632129885054</v>
      </c>
    </row>
    <row r="20" spans="1:3" x14ac:dyDescent="0.25">
      <c r="A20" s="31" t="s">
        <v>267</v>
      </c>
      <c r="B20" s="32"/>
      <c r="C20" s="116">
        <v>1</v>
      </c>
    </row>
    <row r="21" spans="1:3" ht="16.5" thickBot="1" x14ac:dyDescent="0.3">
      <c r="A21" s="110" t="s">
        <v>261</v>
      </c>
      <c r="B21" s="111"/>
      <c r="C21" s="250">
        <v>4</v>
      </c>
    </row>
    <row r="23" spans="1:3" x14ac:dyDescent="0.25">
      <c r="A23" s="61" t="s">
        <v>380</v>
      </c>
    </row>
    <row r="24" spans="1:3" x14ac:dyDescent="0.25">
      <c r="A24" s="20" t="s">
        <v>381</v>
      </c>
    </row>
    <row r="25" spans="1:3" x14ac:dyDescent="0.25">
      <c r="A25" s="61" t="s">
        <v>382</v>
      </c>
    </row>
    <row r="26" spans="1:3" x14ac:dyDescent="0.25">
      <c r="A26" s="20" t="s">
        <v>383</v>
      </c>
    </row>
  </sheetData>
  <mergeCells count="1">
    <mergeCell ref="A6:C6"/>
  </mergeCells>
  <pageMargins left="1.299212598425197" right="0.51181102362204722" top="1.9685039370078741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4CA8-8AEC-4681-905C-BDDB172F814B}">
  <dimension ref="A3:B21"/>
  <sheetViews>
    <sheetView workbookViewId="0">
      <selection activeCell="L31" sqref="L31"/>
    </sheetView>
  </sheetViews>
  <sheetFormatPr defaultRowHeight="12.75" x14ac:dyDescent="0.2"/>
  <cols>
    <col min="1" max="1" width="22.42578125" customWidth="1"/>
    <col min="2" max="2" width="23" customWidth="1"/>
  </cols>
  <sheetData>
    <row r="3" spans="1:2" ht="13.5" thickBot="1" x14ac:dyDescent="0.25"/>
    <row r="4" spans="1:2" ht="24.75" customHeight="1" thickTop="1" thickBot="1" x14ac:dyDescent="0.25">
      <c r="A4" s="618" t="s">
        <v>543</v>
      </c>
      <c r="B4" s="618"/>
    </row>
    <row r="5" spans="1:2" ht="13.5" thickTop="1" x14ac:dyDescent="0.2">
      <c r="A5" s="614" t="s">
        <v>527</v>
      </c>
      <c r="B5" s="616" t="s">
        <v>528</v>
      </c>
    </row>
    <row r="6" spans="1:2" ht="20.25" customHeight="1" thickBot="1" x14ac:dyDescent="0.25">
      <c r="A6" s="615"/>
      <c r="B6" s="617"/>
    </row>
    <row r="7" spans="1:2" x14ac:dyDescent="0.2">
      <c r="A7" s="451" t="s">
        <v>529</v>
      </c>
      <c r="B7" s="446">
        <v>392975.57718750008</v>
      </c>
    </row>
    <row r="8" spans="1:2" x14ac:dyDescent="0.2">
      <c r="A8" s="451" t="s">
        <v>530</v>
      </c>
      <c r="B8" s="446">
        <v>417130.26906249998</v>
      </c>
    </row>
    <row r="9" spans="1:2" x14ac:dyDescent="0.2">
      <c r="A9" s="451" t="s">
        <v>531</v>
      </c>
      <c r="B9" s="446">
        <v>468600.83888281247</v>
      </c>
    </row>
    <row r="10" spans="1:2" x14ac:dyDescent="0.2">
      <c r="A10" s="451" t="s">
        <v>532</v>
      </c>
      <c r="B10" s="446">
        <v>414084.42226432642</v>
      </c>
    </row>
    <row r="11" spans="1:2" x14ac:dyDescent="0.2">
      <c r="A11" s="451" t="s">
        <v>533</v>
      </c>
      <c r="B11" s="446">
        <v>439228.10178000008</v>
      </c>
    </row>
    <row r="12" spans="1:2" x14ac:dyDescent="0.2">
      <c r="A12" s="451" t="s">
        <v>534</v>
      </c>
      <c r="B12" s="446">
        <v>407315.47030555556</v>
      </c>
    </row>
    <row r="13" spans="1:2" x14ac:dyDescent="0.2">
      <c r="A13" s="451" t="s">
        <v>535</v>
      </c>
      <c r="B13" s="446">
        <v>436287.66210833337</v>
      </c>
    </row>
    <row r="14" spans="1:2" x14ac:dyDescent="0.2">
      <c r="A14" s="451" t="s">
        <v>536</v>
      </c>
      <c r="B14" s="446">
        <v>439206.52857870382</v>
      </c>
    </row>
    <row r="15" spans="1:2" x14ac:dyDescent="0.2">
      <c r="A15" s="451" t="s">
        <v>537</v>
      </c>
      <c r="B15" s="446">
        <v>423140.42735731765</v>
      </c>
    </row>
    <row r="16" spans="1:2" x14ac:dyDescent="0.2">
      <c r="A16" s="451" t="s">
        <v>538</v>
      </c>
      <c r="B16" s="446">
        <v>441340.45829124999</v>
      </c>
    </row>
    <row r="17" spans="1:2" x14ac:dyDescent="0.2">
      <c r="A17" s="451" t="s">
        <v>539</v>
      </c>
      <c r="B17" s="446">
        <v>388900.05700340617</v>
      </c>
    </row>
    <row r="18" spans="1:2" ht="13.5" thickBot="1" x14ac:dyDescent="0.25">
      <c r="A18" s="451" t="s">
        <v>540</v>
      </c>
      <c r="B18" s="447">
        <v>423099.87500000006</v>
      </c>
    </row>
    <row r="19" spans="1:2" ht="16.5" thickTop="1" thickBot="1" x14ac:dyDescent="0.3">
      <c r="A19" s="448" t="s">
        <v>541</v>
      </c>
      <c r="B19" s="449">
        <f>SUM(B7:B18)</f>
        <v>5091309.6878217049</v>
      </c>
    </row>
    <row r="20" spans="1:2" ht="16.5" thickTop="1" thickBot="1" x14ac:dyDescent="0.3">
      <c r="A20" s="448" t="s">
        <v>542</v>
      </c>
      <c r="B20" s="450">
        <f>SUM(B19/12)</f>
        <v>424275.80731847539</v>
      </c>
    </row>
    <row r="21" spans="1:2" ht="13.5" thickTop="1" x14ac:dyDescent="0.2"/>
  </sheetData>
  <mergeCells count="3">
    <mergeCell ref="A5:A6"/>
    <mergeCell ref="B5:B6"/>
    <mergeCell ref="A4:B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BAD2-09AF-4047-96E4-0695107A5247}">
  <dimension ref="A2:F35"/>
  <sheetViews>
    <sheetView workbookViewId="0">
      <selection activeCell="J27" sqref="J27"/>
    </sheetView>
  </sheetViews>
  <sheetFormatPr defaultRowHeight="12.75" x14ac:dyDescent="0.2"/>
  <cols>
    <col min="1" max="1" width="15.140625" bestFit="1" customWidth="1"/>
    <col min="2" max="2" width="30.140625" bestFit="1" customWidth="1"/>
    <col min="3" max="3" width="31.28515625" bestFit="1" customWidth="1"/>
    <col min="4" max="4" width="25.28515625" bestFit="1" customWidth="1"/>
    <col min="5" max="5" width="23.5703125" bestFit="1" customWidth="1"/>
    <col min="6" max="6" width="10" customWidth="1"/>
  </cols>
  <sheetData>
    <row r="2" spans="1:6" x14ac:dyDescent="0.2">
      <c r="A2" s="619" t="s">
        <v>430</v>
      </c>
      <c r="B2" s="619"/>
      <c r="C2" s="619"/>
      <c r="D2" s="619"/>
      <c r="E2" s="433"/>
    </row>
    <row r="3" spans="1:6" x14ac:dyDescent="0.2">
      <c r="A3" s="433" t="s">
        <v>429</v>
      </c>
      <c r="B3" s="433" t="s">
        <v>431</v>
      </c>
      <c r="C3" s="433" t="s">
        <v>432</v>
      </c>
      <c r="D3" s="433" t="s">
        <v>427</v>
      </c>
      <c r="E3" s="433" t="s">
        <v>428</v>
      </c>
      <c r="F3" s="434" t="s">
        <v>66</v>
      </c>
    </row>
    <row r="4" spans="1:6" x14ac:dyDescent="0.2">
      <c r="A4" s="429" t="s">
        <v>421</v>
      </c>
      <c r="B4" s="432">
        <v>80.099999999999994</v>
      </c>
      <c r="C4" s="432">
        <v>51.8</v>
      </c>
      <c r="D4" s="432">
        <v>72.599999999999994</v>
      </c>
      <c r="E4" s="431"/>
      <c r="F4" s="430" t="s">
        <v>17</v>
      </c>
    </row>
    <row r="5" spans="1:6" x14ac:dyDescent="0.2">
      <c r="A5" s="429" t="s">
        <v>422</v>
      </c>
      <c r="B5" s="432">
        <v>53.9</v>
      </c>
      <c r="C5" s="432">
        <v>51.1</v>
      </c>
      <c r="D5" s="432"/>
      <c r="E5" s="432">
        <v>111.8</v>
      </c>
      <c r="F5" s="430" t="s">
        <v>17</v>
      </c>
    </row>
    <row r="6" spans="1:6" x14ac:dyDescent="0.2">
      <c r="A6" s="429" t="s">
        <v>423</v>
      </c>
      <c r="B6" s="432">
        <v>80.099999999999994</v>
      </c>
      <c r="C6" s="432">
        <v>67.099999999999994</v>
      </c>
      <c r="D6" s="432">
        <v>65.8</v>
      </c>
      <c r="E6" s="432"/>
      <c r="F6" s="430" t="s">
        <v>17</v>
      </c>
    </row>
    <row r="7" spans="1:6" x14ac:dyDescent="0.2">
      <c r="A7" s="429" t="s">
        <v>424</v>
      </c>
      <c r="B7" s="432">
        <v>53.9</v>
      </c>
      <c r="C7" s="432">
        <v>69.599999999999994</v>
      </c>
      <c r="D7" s="432">
        <v>66.5</v>
      </c>
      <c r="E7" s="432">
        <v>99.85</v>
      </c>
      <c r="F7" s="430" t="s">
        <v>17</v>
      </c>
    </row>
    <row r="8" spans="1:6" x14ac:dyDescent="0.2">
      <c r="A8" s="429" t="s">
        <v>425</v>
      </c>
      <c r="B8" s="432">
        <v>80.099999999999994</v>
      </c>
      <c r="C8" s="432">
        <v>66.099999999999994</v>
      </c>
      <c r="D8" s="432"/>
      <c r="E8" s="432"/>
      <c r="F8" s="430" t="s">
        <v>17</v>
      </c>
    </row>
    <row r="9" spans="1:6" x14ac:dyDescent="0.2">
      <c r="A9" s="429" t="s">
        <v>426</v>
      </c>
      <c r="B9" s="432">
        <v>53.9</v>
      </c>
      <c r="C9" s="432">
        <v>72.5</v>
      </c>
      <c r="D9" s="432">
        <v>103.5</v>
      </c>
      <c r="E9" s="432">
        <v>76.900000000000006</v>
      </c>
      <c r="F9" s="430" t="s">
        <v>17</v>
      </c>
    </row>
    <row r="10" spans="1:6" x14ac:dyDescent="0.2">
      <c r="A10" s="433" t="s">
        <v>434</v>
      </c>
      <c r="B10" s="435">
        <f>SUM(B4:B9)</f>
        <v>402</v>
      </c>
      <c r="C10" s="435">
        <f t="shared" ref="C10:E10" si="0">SUM(C4:C9)</f>
        <v>378.2</v>
      </c>
      <c r="D10" s="435">
        <f t="shared" si="0"/>
        <v>308.39999999999998</v>
      </c>
      <c r="E10" s="433">
        <f t="shared" si="0"/>
        <v>288.54999999999995</v>
      </c>
      <c r="F10" s="430" t="s">
        <v>17</v>
      </c>
    </row>
    <row r="11" spans="1:6" x14ac:dyDescent="0.2">
      <c r="A11" s="433"/>
      <c r="B11" s="619" t="s">
        <v>435</v>
      </c>
      <c r="C11" s="619"/>
      <c r="D11" s="619"/>
      <c r="E11" s="619"/>
      <c r="F11" s="430"/>
    </row>
    <row r="12" spans="1:6" x14ac:dyDescent="0.2">
      <c r="A12" s="433" t="s">
        <v>433</v>
      </c>
      <c r="B12" s="436">
        <f>SUM(B10*4)</f>
        <v>1608</v>
      </c>
      <c r="C12" s="436">
        <f t="shared" ref="C12:E12" si="1">SUM(C10*4)</f>
        <v>1512.8</v>
      </c>
      <c r="D12" s="436">
        <f t="shared" si="1"/>
        <v>1233.5999999999999</v>
      </c>
      <c r="E12" s="436">
        <f t="shared" si="1"/>
        <v>1154.1999999999998</v>
      </c>
      <c r="F12" s="430" t="s">
        <v>17</v>
      </c>
    </row>
    <row r="13" spans="1:6" x14ac:dyDescent="0.2">
      <c r="A13" s="433" t="s">
        <v>436</v>
      </c>
      <c r="B13" s="620">
        <f>SUM(B12:E12)</f>
        <v>5508.5999999999995</v>
      </c>
      <c r="C13" s="620"/>
      <c r="D13" s="620"/>
      <c r="E13" s="620"/>
      <c r="F13" s="430" t="s">
        <v>17</v>
      </c>
    </row>
    <row r="17" spans="1:6" x14ac:dyDescent="0.2">
      <c r="A17" s="619" t="s">
        <v>437</v>
      </c>
      <c r="B17" s="619"/>
      <c r="C17" s="619"/>
      <c r="D17" s="619"/>
      <c r="E17" s="433"/>
    </row>
    <row r="18" spans="1:6" x14ac:dyDescent="0.2">
      <c r="A18" s="433" t="s">
        <v>429</v>
      </c>
      <c r="B18" s="433" t="s">
        <v>431</v>
      </c>
      <c r="C18" s="433" t="s">
        <v>432</v>
      </c>
      <c r="D18" s="433" t="s">
        <v>427</v>
      </c>
      <c r="E18" s="433" t="s">
        <v>428</v>
      </c>
      <c r="F18" s="434" t="s">
        <v>66</v>
      </c>
    </row>
    <row r="19" spans="1:6" x14ac:dyDescent="0.2">
      <c r="A19" s="429" t="s">
        <v>421</v>
      </c>
      <c r="B19" s="432">
        <v>20</v>
      </c>
      <c r="C19" s="432">
        <v>20</v>
      </c>
      <c r="D19" s="432">
        <v>20</v>
      </c>
      <c r="E19" s="431"/>
      <c r="F19" s="430" t="s">
        <v>17</v>
      </c>
    </row>
    <row r="20" spans="1:6" x14ac:dyDescent="0.2">
      <c r="A20" s="429" t="s">
        <v>422</v>
      </c>
      <c r="B20" s="432">
        <v>20</v>
      </c>
      <c r="C20" s="432">
        <v>20</v>
      </c>
      <c r="D20" s="432"/>
      <c r="E20" s="432">
        <v>20</v>
      </c>
      <c r="F20" s="430" t="s">
        <v>17</v>
      </c>
    </row>
    <row r="21" spans="1:6" x14ac:dyDescent="0.2">
      <c r="A21" s="429" t="s">
        <v>423</v>
      </c>
      <c r="B21" s="432">
        <v>20</v>
      </c>
      <c r="C21" s="432">
        <v>20</v>
      </c>
      <c r="D21" s="432">
        <v>20</v>
      </c>
      <c r="E21" s="432"/>
      <c r="F21" s="430" t="s">
        <v>17</v>
      </c>
    </row>
    <row r="22" spans="1:6" x14ac:dyDescent="0.2">
      <c r="A22" s="429" t="s">
        <v>424</v>
      </c>
      <c r="B22" s="432">
        <v>20</v>
      </c>
      <c r="C22" s="432">
        <v>20</v>
      </c>
      <c r="D22" s="432">
        <v>20</v>
      </c>
      <c r="E22" s="432">
        <v>20</v>
      </c>
      <c r="F22" s="430" t="s">
        <v>17</v>
      </c>
    </row>
    <row r="23" spans="1:6" x14ac:dyDescent="0.2">
      <c r="A23" s="429" t="s">
        <v>425</v>
      </c>
      <c r="B23" s="432">
        <v>20</v>
      </c>
      <c r="C23" s="432">
        <v>20</v>
      </c>
      <c r="D23" s="432"/>
      <c r="E23" s="432"/>
      <c r="F23" s="430" t="s">
        <v>17</v>
      </c>
    </row>
    <row r="24" spans="1:6" x14ac:dyDescent="0.2">
      <c r="A24" s="429" t="s">
        <v>426</v>
      </c>
      <c r="B24" s="432">
        <v>20</v>
      </c>
      <c r="C24" s="432">
        <v>20</v>
      </c>
      <c r="D24" s="432">
        <v>20</v>
      </c>
      <c r="E24" s="432">
        <v>20</v>
      </c>
      <c r="F24" s="430" t="s">
        <v>17</v>
      </c>
    </row>
    <row r="25" spans="1:6" x14ac:dyDescent="0.2">
      <c r="A25" s="433" t="s">
        <v>434</v>
      </c>
      <c r="B25" s="435">
        <f>SUM(B19:B24)</f>
        <v>120</v>
      </c>
      <c r="C25" s="435">
        <f>SUM(C19:C24)</f>
        <v>120</v>
      </c>
      <c r="D25" s="435">
        <f t="shared" ref="D25" si="2">SUM(D19:D24)</f>
        <v>80</v>
      </c>
      <c r="E25" s="433">
        <f t="shared" ref="E25" si="3">SUM(E19:E24)</f>
        <v>60</v>
      </c>
      <c r="F25" s="430" t="s">
        <v>17</v>
      </c>
    </row>
    <row r="26" spans="1:6" x14ac:dyDescent="0.2">
      <c r="A26" s="433"/>
      <c r="B26" s="619" t="s">
        <v>435</v>
      </c>
      <c r="C26" s="619"/>
      <c r="D26" s="619"/>
      <c r="E26" s="619"/>
      <c r="F26" s="430"/>
    </row>
    <row r="27" spans="1:6" x14ac:dyDescent="0.2">
      <c r="A27" s="433" t="s">
        <v>433</v>
      </c>
      <c r="B27" s="436">
        <f>SUM(B25*4)</f>
        <v>480</v>
      </c>
      <c r="C27" s="436">
        <f>SUM(C25*4)</f>
        <v>480</v>
      </c>
      <c r="D27" s="436">
        <f t="shared" ref="D27" si="4">SUM(D25*4)</f>
        <v>320</v>
      </c>
      <c r="E27" s="436">
        <f>SUM(E25*4)</f>
        <v>240</v>
      </c>
      <c r="F27" s="430" t="s">
        <v>17</v>
      </c>
    </row>
    <row r="28" spans="1:6" x14ac:dyDescent="0.2">
      <c r="A28" s="433" t="s">
        <v>436</v>
      </c>
      <c r="B28" s="620"/>
      <c r="C28" s="620"/>
      <c r="D28" s="620"/>
      <c r="E28" s="620"/>
      <c r="F28" s="430" t="s">
        <v>17</v>
      </c>
    </row>
    <row r="30" spans="1:6" x14ac:dyDescent="0.2">
      <c r="A30" s="433" t="s">
        <v>439</v>
      </c>
      <c r="B30" s="436">
        <f>SUM(B12+B27)</f>
        <v>2088</v>
      </c>
      <c r="C30" s="436">
        <f t="shared" ref="C30:E30" si="5">SUM(C12+C27)</f>
        <v>1992.8</v>
      </c>
      <c r="D30" s="436">
        <f t="shared" si="5"/>
        <v>1553.6</v>
      </c>
      <c r="E30" s="436">
        <f t="shared" si="5"/>
        <v>1394.1999999999998</v>
      </c>
      <c r="F30" s="430" t="s">
        <v>17</v>
      </c>
    </row>
    <row r="31" spans="1:6" x14ac:dyDescent="0.2">
      <c r="B31" s="620"/>
      <c r="C31" s="620"/>
      <c r="D31" s="622"/>
      <c r="E31" s="622"/>
    </row>
    <row r="32" spans="1:6" x14ac:dyDescent="0.2">
      <c r="A32" s="433" t="s">
        <v>436</v>
      </c>
    </row>
    <row r="33" spans="1:6" x14ac:dyDescent="0.2">
      <c r="A33" s="619" t="s">
        <v>430</v>
      </c>
      <c r="B33" s="619"/>
      <c r="C33" s="619"/>
      <c r="D33" s="619"/>
      <c r="E33" s="435">
        <f>SUM(B13)</f>
        <v>5508.5999999999995</v>
      </c>
      <c r="F33" s="430" t="s">
        <v>17</v>
      </c>
    </row>
    <row r="34" spans="1:6" x14ac:dyDescent="0.2">
      <c r="A34" s="619" t="s">
        <v>437</v>
      </c>
      <c r="B34" s="619"/>
      <c r="C34" s="619"/>
      <c r="D34" s="619"/>
      <c r="E34" s="435">
        <f>SUM(B28)</f>
        <v>0</v>
      </c>
      <c r="F34" s="430" t="s">
        <v>17</v>
      </c>
    </row>
    <row r="35" spans="1:6" x14ac:dyDescent="0.2">
      <c r="A35" s="621" t="s">
        <v>438</v>
      </c>
      <c r="B35" s="621"/>
      <c r="C35" s="621"/>
      <c r="D35" s="621"/>
      <c r="E35" s="435">
        <f>SUM(E33:E34)</f>
        <v>5508.5999999999995</v>
      </c>
      <c r="F35" s="430" t="s">
        <v>17</v>
      </c>
    </row>
  </sheetData>
  <mergeCells count="11">
    <mergeCell ref="B28:E28"/>
    <mergeCell ref="A33:D33"/>
    <mergeCell ref="A34:D34"/>
    <mergeCell ref="A35:D35"/>
    <mergeCell ref="B31:C31"/>
    <mergeCell ref="D31:E31"/>
    <mergeCell ref="A2:D2"/>
    <mergeCell ref="B11:E11"/>
    <mergeCell ref="B13:E13"/>
    <mergeCell ref="A17:D17"/>
    <mergeCell ref="B26:E26"/>
  </mergeCells>
  <pageMargins left="0.511811024" right="0.511811024" top="0.78740157499999996" bottom="0.78740157499999996" header="0.31496062000000002" footer="0.31496062000000002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view="pageBreakPreview" zoomScaleNormal="100" zoomScaleSheetLayoutView="100" workbookViewId="0">
      <selection activeCell="G20" sqref="G20"/>
    </sheetView>
  </sheetViews>
  <sheetFormatPr defaultRowHeight="12.75" x14ac:dyDescent="0.2"/>
  <cols>
    <col min="1" max="1" width="10.7109375" style="340" customWidth="1"/>
    <col min="2" max="2" width="63" style="333" customWidth="1"/>
    <col min="3" max="3" width="15.28515625" style="341" customWidth="1"/>
    <col min="4" max="4" width="8.28515625" style="333" customWidth="1"/>
    <col min="5" max="16" width="13.140625" style="333" bestFit="1" customWidth="1"/>
    <col min="17" max="255" width="9.140625" style="333"/>
    <col min="256" max="256" width="10.7109375" style="333" customWidth="1"/>
    <col min="257" max="257" width="63" style="333" customWidth="1"/>
    <col min="258" max="258" width="12.140625" style="333" customWidth="1"/>
    <col min="259" max="259" width="20" style="333" customWidth="1"/>
    <col min="260" max="260" width="10.85546875" style="333" customWidth="1"/>
    <col min="261" max="261" width="15.28515625" style="333" customWidth="1"/>
    <col min="262" max="264" width="13.85546875" style="333" customWidth="1"/>
    <col min="265" max="265" width="10.28515625" style="333" bestFit="1" customWidth="1"/>
    <col min="266" max="511" width="9.140625" style="333"/>
    <col min="512" max="512" width="10.7109375" style="333" customWidth="1"/>
    <col min="513" max="513" width="63" style="333" customWidth="1"/>
    <col min="514" max="514" width="12.140625" style="333" customWidth="1"/>
    <col min="515" max="515" width="20" style="333" customWidth="1"/>
    <col min="516" max="516" width="10.85546875" style="333" customWidth="1"/>
    <col min="517" max="517" width="15.28515625" style="333" customWidth="1"/>
    <col min="518" max="520" width="13.85546875" style="333" customWidth="1"/>
    <col min="521" max="521" width="10.28515625" style="333" bestFit="1" customWidth="1"/>
    <col min="522" max="767" width="9.140625" style="333"/>
    <col min="768" max="768" width="10.7109375" style="333" customWidth="1"/>
    <col min="769" max="769" width="63" style="333" customWidth="1"/>
    <col min="770" max="770" width="12.140625" style="333" customWidth="1"/>
    <col min="771" max="771" width="20" style="333" customWidth="1"/>
    <col min="772" max="772" width="10.85546875" style="333" customWidth="1"/>
    <col min="773" max="773" width="15.28515625" style="333" customWidth="1"/>
    <col min="774" max="776" width="13.85546875" style="333" customWidth="1"/>
    <col min="777" max="777" width="10.28515625" style="333" bestFit="1" customWidth="1"/>
    <col min="778" max="1023" width="9.140625" style="333"/>
    <col min="1024" max="1024" width="10.7109375" style="333" customWidth="1"/>
    <col min="1025" max="1025" width="63" style="333" customWidth="1"/>
    <col min="1026" max="1026" width="12.140625" style="333" customWidth="1"/>
    <col min="1027" max="1027" width="20" style="333" customWidth="1"/>
    <col min="1028" max="1028" width="10.85546875" style="333" customWidth="1"/>
    <col min="1029" max="1029" width="15.28515625" style="333" customWidth="1"/>
    <col min="1030" max="1032" width="13.85546875" style="333" customWidth="1"/>
    <col min="1033" max="1033" width="10.28515625" style="333" bestFit="1" customWidth="1"/>
    <col min="1034" max="1279" width="9.140625" style="333"/>
    <col min="1280" max="1280" width="10.7109375" style="333" customWidth="1"/>
    <col min="1281" max="1281" width="63" style="333" customWidth="1"/>
    <col min="1282" max="1282" width="12.140625" style="333" customWidth="1"/>
    <col min="1283" max="1283" width="20" style="333" customWidth="1"/>
    <col min="1284" max="1284" width="10.85546875" style="333" customWidth="1"/>
    <col min="1285" max="1285" width="15.28515625" style="333" customWidth="1"/>
    <col min="1286" max="1288" width="13.85546875" style="333" customWidth="1"/>
    <col min="1289" max="1289" width="10.28515625" style="333" bestFit="1" customWidth="1"/>
    <col min="1290" max="1535" width="9.140625" style="333"/>
    <col min="1536" max="1536" width="10.7109375" style="333" customWidth="1"/>
    <col min="1537" max="1537" width="63" style="333" customWidth="1"/>
    <col min="1538" max="1538" width="12.140625" style="333" customWidth="1"/>
    <col min="1539" max="1539" width="20" style="333" customWidth="1"/>
    <col min="1540" max="1540" width="10.85546875" style="333" customWidth="1"/>
    <col min="1541" max="1541" width="15.28515625" style="333" customWidth="1"/>
    <col min="1542" max="1544" width="13.85546875" style="333" customWidth="1"/>
    <col min="1545" max="1545" width="10.28515625" style="333" bestFit="1" customWidth="1"/>
    <col min="1546" max="1791" width="9.140625" style="333"/>
    <col min="1792" max="1792" width="10.7109375" style="333" customWidth="1"/>
    <col min="1793" max="1793" width="63" style="333" customWidth="1"/>
    <col min="1794" max="1794" width="12.140625" style="333" customWidth="1"/>
    <col min="1795" max="1795" width="20" style="333" customWidth="1"/>
    <col min="1796" max="1796" width="10.85546875" style="333" customWidth="1"/>
    <col min="1797" max="1797" width="15.28515625" style="333" customWidth="1"/>
    <col min="1798" max="1800" width="13.85546875" style="333" customWidth="1"/>
    <col min="1801" max="1801" width="10.28515625" style="333" bestFit="1" customWidth="1"/>
    <col min="1802" max="2047" width="9.140625" style="333"/>
    <col min="2048" max="2048" width="10.7109375" style="333" customWidth="1"/>
    <col min="2049" max="2049" width="63" style="333" customWidth="1"/>
    <col min="2050" max="2050" width="12.140625" style="333" customWidth="1"/>
    <col min="2051" max="2051" width="20" style="333" customWidth="1"/>
    <col min="2052" max="2052" width="10.85546875" style="333" customWidth="1"/>
    <col min="2053" max="2053" width="15.28515625" style="333" customWidth="1"/>
    <col min="2054" max="2056" width="13.85546875" style="333" customWidth="1"/>
    <col min="2057" max="2057" width="10.28515625" style="333" bestFit="1" customWidth="1"/>
    <col min="2058" max="2303" width="9.140625" style="333"/>
    <col min="2304" max="2304" width="10.7109375" style="333" customWidth="1"/>
    <col min="2305" max="2305" width="63" style="333" customWidth="1"/>
    <col min="2306" max="2306" width="12.140625" style="333" customWidth="1"/>
    <col min="2307" max="2307" width="20" style="333" customWidth="1"/>
    <col min="2308" max="2308" width="10.85546875" style="333" customWidth="1"/>
    <col min="2309" max="2309" width="15.28515625" style="333" customWidth="1"/>
    <col min="2310" max="2312" width="13.85546875" style="333" customWidth="1"/>
    <col min="2313" max="2313" width="10.28515625" style="333" bestFit="1" customWidth="1"/>
    <col min="2314" max="2559" width="9.140625" style="333"/>
    <col min="2560" max="2560" width="10.7109375" style="333" customWidth="1"/>
    <col min="2561" max="2561" width="63" style="333" customWidth="1"/>
    <col min="2562" max="2562" width="12.140625" style="333" customWidth="1"/>
    <col min="2563" max="2563" width="20" style="333" customWidth="1"/>
    <col min="2564" max="2564" width="10.85546875" style="333" customWidth="1"/>
    <col min="2565" max="2565" width="15.28515625" style="333" customWidth="1"/>
    <col min="2566" max="2568" width="13.85546875" style="333" customWidth="1"/>
    <col min="2569" max="2569" width="10.28515625" style="333" bestFit="1" customWidth="1"/>
    <col min="2570" max="2815" width="9.140625" style="333"/>
    <col min="2816" max="2816" width="10.7109375" style="333" customWidth="1"/>
    <col min="2817" max="2817" width="63" style="333" customWidth="1"/>
    <col min="2818" max="2818" width="12.140625" style="333" customWidth="1"/>
    <col min="2819" max="2819" width="20" style="333" customWidth="1"/>
    <col min="2820" max="2820" width="10.85546875" style="333" customWidth="1"/>
    <col min="2821" max="2821" width="15.28515625" style="333" customWidth="1"/>
    <col min="2822" max="2824" width="13.85546875" style="333" customWidth="1"/>
    <col min="2825" max="2825" width="10.28515625" style="333" bestFit="1" customWidth="1"/>
    <col min="2826" max="3071" width="9.140625" style="333"/>
    <col min="3072" max="3072" width="10.7109375" style="333" customWidth="1"/>
    <col min="3073" max="3073" width="63" style="333" customWidth="1"/>
    <col min="3074" max="3074" width="12.140625" style="333" customWidth="1"/>
    <col min="3075" max="3075" width="20" style="333" customWidth="1"/>
    <col min="3076" max="3076" width="10.85546875" style="333" customWidth="1"/>
    <col min="3077" max="3077" width="15.28515625" style="333" customWidth="1"/>
    <col min="3078" max="3080" width="13.85546875" style="333" customWidth="1"/>
    <col min="3081" max="3081" width="10.28515625" style="333" bestFit="1" customWidth="1"/>
    <col min="3082" max="3327" width="9.140625" style="333"/>
    <col min="3328" max="3328" width="10.7109375" style="333" customWidth="1"/>
    <col min="3329" max="3329" width="63" style="333" customWidth="1"/>
    <col min="3330" max="3330" width="12.140625" style="333" customWidth="1"/>
    <col min="3331" max="3331" width="20" style="333" customWidth="1"/>
    <col min="3332" max="3332" width="10.85546875" style="333" customWidth="1"/>
    <col min="3333" max="3333" width="15.28515625" style="333" customWidth="1"/>
    <col min="3334" max="3336" width="13.85546875" style="333" customWidth="1"/>
    <col min="3337" max="3337" width="10.28515625" style="333" bestFit="1" customWidth="1"/>
    <col min="3338" max="3583" width="9.140625" style="333"/>
    <col min="3584" max="3584" width="10.7109375" style="333" customWidth="1"/>
    <col min="3585" max="3585" width="63" style="333" customWidth="1"/>
    <col min="3586" max="3586" width="12.140625" style="333" customWidth="1"/>
    <col min="3587" max="3587" width="20" style="333" customWidth="1"/>
    <col min="3588" max="3588" width="10.85546875" style="333" customWidth="1"/>
    <col min="3589" max="3589" width="15.28515625" style="333" customWidth="1"/>
    <col min="3590" max="3592" width="13.85546875" style="333" customWidth="1"/>
    <col min="3593" max="3593" width="10.28515625" style="333" bestFit="1" customWidth="1"/>
    <col min="3594" max="3839" width="9.140625" style="333"/>
    <col min="3840" max="3840" width="10.7109375" style="333" customWidth="1"/>
    <col min="3841" max="3841" width="63" style="333" customWidth="1"/>
    <col min="3842" max="3842" width="12.140625" style="333" customWidth="1"/>
    <col min="3843" max="3843" width="20" style="333" customWidth="1"/>
    <col min="3844" max="3844" width="10.85546875" style="333" customWidth="1"/>
    <col min="3845" max="3845" width="15.28515625" style="333" customWidth="1"/>
    <col min="3846" max="3848" width="13.85546875" style="333" customWidth="1"/>
    <col min="3849" max="3849" width="10.28515625" style="333" bestFit="1" customWidth="1"/>
    <col min="3850" max="4095" width="9.140625" style="333"/>
    <col min="4096" max="4096" width="10.7109375" style="333" customWidth="1"/>
    <col min="4097" max="4097" width="63" style="333" customWidth="1"/>
    <col min="4098" max="4098" width="12.140625" style="333" customWidth="1"/>
    <col min="4099" max="4099" width="20" style="333" customWidth="1"/>
    <col min="4100" max="4100" width="10.85546875" style="333" customWidth="1"/>
    <col min="4101" max="4101" width="15.28515625" style="333" customWidth="1"/>
    <col min="4102" max="4104" width="13.85546875" style="333" customWidth="1"/>
    <col min="4105" max="4105" width="10.28515625" style="333" bestFit="1" customWidth="1"/>
    <col min="4106" max="4351" width="9.140625" style="333"/>
    <col min="4352" max="4352" width="10.7109375" style="333" customWidth="1"/>
    <col min="4353" max="4353" width="63" style="333" customWidth="1"/>
    <col min="4354" max="4354" width="12.140625" style="333" customWidth="1"/>
    <col min="4355" max="4355" width="20" style="333" customWidth="1"/>
    <col min="4356" max="4356" width="10.85546875" style="333" customWidth="1"/>
    <col min="4357" max="4357" width="15.28515625" style="333" customWidth="1"/>
    <col min="4358" max="4360" width="13.85546875" style="333" customWidth="1"/>
    <col min="4361" max="4361" width="10.28515625" style="333" bestFit="1" customWidth="1"/>
    <col min="4362" max="4607" width="9.140625" style="333"/>
    <col min="4608" max="4608" width="10.7109375" style="333" customWidth="1"/>
    <col min="4609" max="4609" width="63" style="333" customWidth="1"/>
    <col min="4610" max="4610" width="12.140625" style="333" customWidth="1"/>
    <col min="4611" max="4611" width="20" style="333" customWidth="1"/>
    <col min="4612" max="4612" width="10.85546875" style="333" customWidth="1"/>
    <col min="4613" max="4613" width="15.28515625" style="333" customWidth="1"/>
    <col min="4614" max="4616" width="13.85546875" style="333" customWidth="1"/>
    <col min="4617" max="4617" width="10.28515625" style="333" bestFit="1" customWidth="1"/>
    <col min="4618" max="4863" width="9.140625" style="333"/>
    <col min="4864" max="4864" width="10.7109375" style="333" customWidth="1"/>
    <col min="4865" max="4865" width="63" style="333" customWidth="1"/>
    <col min="4866" max="4866" width="12.140625" style="333" customWidth="1"/>
    <col min="4867" max="4867" width="20" style="333" customWidth="1"/>
    <col min="4868" max="4868" width="10.85546875" style="333" customWidth="1"/>
    <col min="4869" max="4869" width="15.28515625" style="333" customWidth="1"/>
    <col min="4870" max="4872" width="13.85546875" style="333" customWidth="1"/>
    <col min="4873" max="4873" width="10.28515625" style="333" bestFit="1" customWidth="1"/>
    <col min="4874" max="5119" width="9.140625" style="333"/>
    <col min="5120" max="5120" width="10.7109375" style="333" customWidth="1"/>
    <col min="5121" max="5121" width="63" style="333" customWidth="1"/>
    <col min="5122" max="5122" width="12.140625" style="333" customWidth="1"/>
    <col min="5123" max="5123" width="20" style="333" customWidth="1"/>
    <col min="5124" max="5124" width="10.85546875" style="333" customWidth="1"/>
    <col min="5125" max="5125" width="15.28515625" style="333" customWidth="1"/>
    <col min="5126" max="5128" width="13.85546875" style="333" customWidth="1"/>
    <col min="5129" max="5129" width="10.28515625" style="333" bestFit="1" customWidth="1"/>
    <col min="5130" max="5375" width="9.140625" style="333"/>
    <col min="5376" max="5376" width="10.7109375" style="333" customWidth="1"/>
    <col min="5377" max="5377" width="63" style="333" customWidth="1"/>
    <col min="5378" max="5378" width="12.140625" style="333" customWidth="1"/>
    <col min="5379" max="5379" width="20" style="333" customWidth="1"/>
    <col min="5380" max="5380" width="10.85546875" style="333" customWidth="1"/>
    <col min="5381" max="5381" width="15.28515625" style="333" customWidth="1"/>
    <col min="5382" max="5384" width="13.85546875" style="333" customWidth="1"/>
    <col min="5385" max="5385" width="10.28515625" style="333" bestFit="1" customWidth="1"/>
    <col min="5386" max="5631" width="9.140625" style="333"/>
    <col min="5632" max="5632" width="10.7109375" style="333" customWidth="1"/>
    <col min="5633" max="5633" width="63" style="333" customWidth="1"/>
    <col min="5634" max="5634" width="12.140625" style="333" customWidth="1"/>
    <col min="5635" max="5635" width="20" style="333" customWidth="1"/>
    <col min="5636" max="5636" width="10.85546875" style="333" customWidth="1"/>
    <col min="5637" max="5637" width="15.28515625" style="333" customWidth="1"/>
    <col min="5638" max="5640" width="13.85546875" style="333" customWidth="1"/>
    <col min="5641" max="5641" width="10.28515625" style="333" bestFit="1" customWidth="1"/>
    <col min="5642" max="5887" width="9.140625" style="333"/>
    <col min="5888" max="5888" width="10.7109375" style="333" customWidth="1"/>
    <col min="5889" max="5889" width="63" style="333" customWidth="1"/>
    <col min="5890" max="5890" width="12.140625" style="333" customWidth="1"/>
    <col min="5891" max="5891" width="20" style="333" customWidth="1"/>
    <col min="5892" max="5892" width="10.85546875" style="333" customWidth="1"/>
    <col min="5893" max="5893" width="15.28515625" style="333" customWidth="1"/>
    <col min="5894" max="5896" width="13.85546875" style="333" customWidth="1"/>
    <col min="5897" max="5897" width="10.28515625" style="333" bestFit="1" customWidth="1"/>
    <col min="5898" max="6143" width="9.140625" style="333"/>
    <col min="6144" max="6144" width="10.7109375" style="333" customWidth="1"/>
    <col min="6145" max="6145" width="63" style="333" customWidth="1"/>
    <col min="6146" max="6146" width="12.140625" style="333" customWidth="1"/>
    <col min="6147" max="6147" width="20" style="333" customWidth="1"/>
    <col min="6148" max="6148" width="10.85546875" style="333" customWidth="1"/>
    <col min="6149" max="6149" width="15.28515625" style="333" customWidth="1"/>
    <col min="6150" max="6152" width="13.85546875" style="333" customWidth="1"/>
    <col min="6153" max="6153" width="10.28515625" style="333" bestFit="1" customWidth="1"/>
    <col min="6154" max="6399" width="9.140625" style="333"/>
    <col min="6400" max="6400" width="10.7109375" style="333" customWidth="1"/>
    <col min="6401" max="6401" width="63" style="333" customWidth="1"/>
    <col min="6402" max="6402" width="12.140625" style="333" customWidth="1"/>
    <col min="6403" max="6403" width="20" style="333" customWidth="1"/>
    <col min="6404" max="6404" width="10.85546875" style="333" customWidth="1"/>
    <col min="6405" max="6405" width="15.28515625" style="333" customWidth="1"/>
    <col min="6406" max="6408" width="13.85546875" style="333" customWidth="1"/>
    <col min="6409" max="6409" width="10.28515625" style="333" bestFit="1" customWidth="1"/>
    <col min="6410" max="6655" width="9.140625" style="333"/>
    <col min="6656" max="6656" width="10.7109375" style="333" customWidth="1"/>
    <col min="6657" max="6657" width="63" style="333" customWidth="1"/>
    <col min="6658" max="6658" width="12.140625" style="333" customWidth="1"/>
    <col min="6659" max="6659" width="20" style="333" customWidth="1"/>
    <col min="6660" max="6660" width="10.85546875" style="333" customWidth="1"/>
    <col min="6661" max="6661" width="15.28515625" style="333" customWidth="1"/>
    <col min="6662" max="6664" width="13.85546875" style="333" customWidth="1"/>
    <col min="6665" max="6665" width="10.28515625" style="333" bestFit="1" customWidth="1"/>
    <col min="6666" max="6911" width="9.140625" style="333"/>
    <col min="6912" max="6912" width="10.7109375" style="333" customWidth="1"/>
    <col min="6913" max="6913" width="63" style="333" customWidth="1"/>
    <col min="6914" max="6914" width="12.140625" style="333" customWidth="1"/>
    <col min="6915" max="6915" width="20" style="333" customWidth="1"/>
    <col min="6916" max="6916" width="10.85546875" style="333" customWidth="1"/>
    <col min="6917" max="6917" width="15.28515625" style="333" customWidth="1"/>
    <col min="6918" max="6920" width="13.85546875" style="333" customWidth="1"/>
    <col min="6921" max="6921" width="10.28515625" style="333" bestFit="1" customWidth="1"/>
    <col min="6922" max="7167" width="9.140625" style="333"/>
    <col min="7168" max="7168" width="10.7109375" style="333" customWidth="1"/>
    <col min="7169" max="7169" width="63" style="333" customWidth="1"/>
    <col min="7170" max="7170" width="12.140625" style="333" customWidth="1"/>
    <col min="7171" max="7171" width="20" style="333" customWidth="1"/>
    <col min="7172" max="7172" width="10.85546875" style="333" customWidth="1"/>
    <col min="7173" max="7173" width="15.28515625" style="333" customWidth="1"/>
    <col min="7174" max="7176" width="13.85546875" style="333" customWidth="1"/>
    <col min="7177" max="7177" width="10.28515625" style="333" bestFit="1" customWidth="1"/>
    <col min="7178" max="7423" width="9.140625" style="333"/>
    <col min="7424" max="7424" width="10.7109375" style="333" customWidth="1"/>
    <col min="7425" max="7425" width="63" style="333" customWidth="1"/>
    <col min="7426" max="7426" width="12.140625" style="333" customWidth="1"/>
    <col min="7427" max="7427" width="20" style="333" customWidth="1"/>
    <col min="7428" max="7428" width="10.85546875" style="333" customWidth="1"/>
    <col min="7429" max="7429" width="15.28515625" style="333" customWidth="1"/>
    <col min="7430" max="7432" width="13.85546875" style="333" customWidth="1"/>
    <col min="7433" max="7433" width="10.28515625" style="333" bestFit="1" customWidth="1"/>
    <col min="7434" max="7679" width="9.140625" style="333"/>
    <col min="7680" max="7680" width="10.7109375" style="333" customWidth="1"/>
    <col min="7681" max="7681" width="63" style="333" customWidth="1"/>
    <col min="7682" max="7682" width="12.140625" style="333" customWidth="1"/>
    <col min="7683" max="7683" width="20" style="333" customWidth="1"/>
    <col min="7684" max="7684" width="10.85546875" style="333" customWidth="1"/>
    <col min="7685" max="7685" width="15.28515625" style="333" customWidth="1"/>
    <col min="7686" max="7688" width="13.85546875" style="333" customWidth="1"/>
    <col min="7689" max="7689" width="10.28515625" style="333" bestFit="1" customWidth="1"/>
    <col min="7690" max="7935" width="9.140625" style="333"/>
    <col min="7936" max="7936" width="10.7109375" style="333" customWidth="1"/>
    <col min="7937" max="7937" width="63" style="333" customWidth="1"/>
    <col min="7938" max="7938" width="12.140625" style="333" customWidth="1"/>
    <col min="7939" max="7939" width="20" style="333" customWidth="1"/>
    <col min="7940" max="7940" width="10.85546875" style="333" customWidth="1"/>
    <col min="7941" max="7941" width="15.28515625" style="333" customWidth="1"/>
    <col min="7942" max="7944" width="13.85546875" style="333" customWidth="1"/>
    <col min="7945" max="7945" width="10.28515625" style="333" bestFit="1" customWidth="1"/>
    <col min="7946" max="8191" width="9.140625" style="333"/>
    <col min="8192" max="8192" width="10.7109375" style="333" customWidth="1"/>
    <col min="8193" max="8193" width="63" style="333" customWidth="1"/>
    <col min="8194" max="8194" width="12.140625" style="333" customWidth="1"/>
    <col min="8195" max="8195" width="20" style="333" customWidth="1"/>
    <col min="8196" max="8196" width="10.85546875" style="333" customWidth="1"/>
    <col min="8197" max="8197" width="15.28515625" style="333" customWidth="1"/>
    <col min="8198" max="8200" width="13.85546875" style="333" customWidth="1"/>
    <col min="8201" max="8201" width="10.28515625" style="333" bestFit="1" customWidth="1"/>
    <col min="8202" max="8447" width="9.140625" style="333"/>
    <col min="8448" max="8448" width="10.7109375" style="333" customWidth="1"/>
    <col min="8449" max="8449" width="63" style="333" customWidth="1"/>
    <col min="8450" max="8450" width="12.140625" style="333" customWidth="1"/>
    <col min="8451" max="8451" width="20" style="333" customWidth="1"/>
    <col min="8452" max="8452" width="10.85546875" style="333" customWidth="1"/>
    <col min="8453" max="8453" width="15.28515625" style="333" customWidth="1"/>
    <col min="8454" max="8456" width="13.85546875" style="333" customWidth="1"/>
    <col min="8457" max="8457" width="10.28515625" style="333" bestFit="1" customWidth="1"/>
    <col min="8458" max="8703" width="9.140625" style="333"/>
    <col min="8704" max="8704" width="10.7109375" style="333" customWidth="1"/>
    <col min="8705" max="8705" width="63" style="333" customWidth="1"/>
    <col min="8706" max="8706" width="12.140625" style="333" customWidth="1"/>
    <col min="8707" max="8707" width="20" style="333" customWidth="1"/>
    <col min="8708" max="8708" width="10.85546875" style="333" customWidth="1"/>
    <col min="8709" max="8709" width="15.28515625" style="333" customWidth="1"/>
    <col min="8710" max="8712" width="13.85546875" style="333" customWidth="1"/>
    <col min="8713" max="8713" width="10.28515625" style="333" bestFit="1" customWidth="1"/>
    <col min="8714" max="8959" width="9.140625" style="333"/>
    <col min="8960" max="8960" width="10.7109375" style="333" customWidth="1"/>
    <col min="8961" max="8961" width="63" style="333" customWidth="1"/>
    <col min="8962" max="8962" width="12.140625" style="333" customWidth="1"/>
    <col min="8963" max="8963" width="20" style="333" customWidth="1"/>
    <col min="8964" max="8964" width="10.85546875" style="333" customWidth="1"/>
    <col min="8965" max="8965" width="15.28515625" style="333" customWidth="1"/>
    <col min="8966" max="8968" width="13.85546875" style="333" customWidth="1"/>
    <col min="8969" max="8969" width="10.28515625" style="333" bestFit="1" customWidth="1"/>
    <col min="8970" max="9215" width="9.140625" style="333"/>
    <col min="9216" max="9216" width="10.7109375" style="333" customWidth="1"/>
    <col min="9217" max="9217" width="63" style="333" customWidth="1"/>
    <col min="9218" max="9218" width="12.140625" style="333" customWidth="1"/>
    <col min="9219" max="9219" width="20" style="333" customWidth="1"/>
    <col min="9220" max="9220" width="10.85546875" style="333" customWidth="1"/>
    <col min="9221" max="9221" width="15.28515625" style="333" customWidth="1"/>
    <col min="9222" max="9224" width="13.85546875" style="333" customWidth="1"/>
    <col min="9225" max="9225" width="10.28515625" style="333" bestFit="1" customWidth="1"/>
    <col min="9226" max="9471" width="9.140625" style="333"/>
    <col min="9472" max="9472" width="10.7109375" style="333" customWidth="1"/>
    <col min="9473" max="9473" width="63" style="333" customWidth="1"/>
    <col min="9474" max="9474" width="12.140625" style="333" customWidth="1"/>
    <col min="9475" max="9475" width="20" style="333" customWidth="1"/>
    <col min="9476" max="9476" width="10.85546875" style="333" customWidth="1"/>
    <col min="9477" max="9477" width="15.28515625" style="333" customWidth="1"/>
    <col min="9478" max="9480" width="13.85546875" style="333" customWidth="1"/>
    <col min="9481" max="9481" width="10.28515625" style="333" bestFit="1" customWidth="1"/>
    <col min="9482" max="9727" width="9.140625" style="333"/>
    <col min="9728" max="9728" width="10.7109375" style="333" customWidth="1"/>
    <col min="9729" max="9729" width="63" style="333" customWidth="1"/>
    <col min="9730" max="9730" width="12.140625" style="333" customWidth="1"/>
    <col min="9731" max="9731" width="20" style="333" customWidth="1"/>
    <col min="9732" max="9732" width="10.85546875" style="333" customWidth="1"/>
    <col min="9733" max="9733" width="15.28515625" style="333" customWidth="1"/>
    <col min="9734" max="9736" width="13.85546875" style="333" customWidth="1"/>
    <col min="9737" max="9737" width="10.28515625" style="333" bestFit="1" customWidth="1"/>
    <col min="9738" max="9983" width="9.140625" style="333"/>
    <col min="9984" max="9984" width="10.7109375" style="333" customWidth="1"/>
    <col min="9985" max="9985" width="63" style="333" customWidth="1"/>
    <col min="9986" max="9986" width="12.140625" style="333" customWidth="1"/>
    <col min="9987" max="9987" width="20" style="333" customWidth="1"/>
    <col min="9988" max="9988" width="10.85546875" style="333" customWidth="1"/>
    <col min="9989" max="9989" width="15.28515625" style="333" customWidth="1"/>
    <col min="9990" max="9992" width="13.85546875" style="333" customWidth="1"/>
    <col min="9993" max="9993" width="10.28515625" style="333" bestFit="1" customWidth="1"/>
    <col min="9994" max="10239" width="9.140625" style="333"/>
    <col min="10240" max="10240" width="10.7109375" style="333" customWidth="1"/>
    <col min="10241" max="10241" width="63" style="333" customWidth="1"/>
    <col min="10242" max="10242" width="12.140625" style="333" customWidth="1"/>
    <col min="10243" max="10243" width="20" style="333" customWidth="1"/>
    <col min="10244" max="10244" width="10.85546875" style="333" customWidth="1"/>
    <col min="10245" max="10245" width="15.28515625" style="333" customWidth="1"/>
    <col min="10246" max="10248" width="13.85546875" style="333" customWidth="1"/>
    <col min="10249" max="10249" width="10.28515625" style="333" bestFit="1" customWidth="1"/>
    <col min="10250" max="10495" width="9.140625" style="333"/>
    <col min="10496" max="10496" width="10.7109375" style="333" customWidth="1"/>
    <col min="10497" max="10497" width="63" style="333" customWidth="1"/>
    <col min="10498" max="10498" width="12.140625" style="333" customWidth="1"/>
    <col min="10499" max="10499" width="20" style="333" customWidth="1"/>
    <col min="10500" max="10500" width="10.85546875" style="333" customWidth="1"/>
    <col min="10501" max="10501" width="15.28515625" style="333" customWidth="1"/>
    <col min="10502" max="10504" width="13.85546875" style="333" customWidth="1"/>
    <col min="10505" max="10505" width="10.28515625" style="333" bestFit="1" customWidth="1"/>
    <col min="10506" max="10751" width="9.140625" style="333"/>
    <col min="10752" max="10752" width="10.7109375" style="333" customWidth="1"/>
    <col min="10753" max="10753" width="63" style="333" customWidth="1"/>
    <col min="10754" max="10754" width="12.140625" style="333" customWidth="1"/>
    <col min="10755" max="10755" width="20" style="333" customWidth="1"/>
    <col min="10756" max="10756" width="10.85546875" style="333" customWidth="1"/>
    <col min="10757" max="10757" width="15.28515625" style="333" customWidth="1"/>
    <col min="10758" max="10760" width="13.85546875" style="333" customWidth="1"/>
    <col min="10761" max="10761" width="10.28515625" style="333" bestFit="1" customWidth="1"/>
    <col min="10762" max="11007" width="9.140625" style="333"/>
    <col min="11008" max="11008" width="10.7109375" style="333" customWidth="1"/>
    <col min="11009" max="11009" width="63" style="333" customWidth="1"/>
    <col min="11010" max="11010" width="12.140625" style="333" customWidth="1"/>
    <col min="11011" max="11011" width="20" style="333" customWidth="1"/>
    <col min="11012" max="11012" width="10.85546875" style="333" customWidth="1"/>
    <col min="11013" max="11013" width="15.28515625" style="333" customWidth="1"/>
    <col min="11014" max="11016" width="13.85546875" style="333" customWidth="1"/>
    <col min="11017" max="11017" width="10.28515625" style="333" bestFit="1" customWidth="1"/>
    <col min="11018" max="11263" width="9.140625" style="333"/>
    <col min="11264" max="11264" width="10.7109375" style="333" customWidth="1"/>
    <col min="11265" max="11265" width="63" style="333" customWidth="1"/>
    <col min="11266" max="11266" width="12.140625" style="333" customWidth="1"/>
    <col min="11267" max="11267" width="20" style="333" customWidth="1"/>
    <col min="11268" max="11268" width="10.85546875" style="333" customWidth="1"/>
    <col min="11269" max="11269" width="15.28515625" style="333" customWidth="1"/>
    <col min="11270" max="11272" width="13.85546875" style="333" customWidth="1"/>
    <col min="11273" max="11273" width="10.28515625" style="333" bestFit="1" customWidth="1"/>
    <col min="11274" max="11519" width="9.140625" style="333"/>
    <col min="11520" max="11520" width="10.7109375" style="333" customWidth="1"/>
    <col min="11521" max="11521" width="63" style="333" customWidth="1"/>
    <col min="11522" max="11522" width="12.140625" style="333" customWidth="1"/>
    <col min="11523" max="11523" width="20" style="333" customWidth="1"/>
    <col min="11524" max="11524" width="10.85546875" style="333" customWidth="1"/>
    <col min="11525" max="11525" width="15.28515625" style="333" customWidth="1"/>
    <col min="11526" max="11528" width="13.85546875" style="333" customWidth="1"/>
    <col min="11529" max="11529" width="10.28515625" style="333" bestFit="1" customWidth="1"/>
    <col min="11530" max="11775" width="9.140625" style="333"/>
    <col min="11776" max="11776" width="10.7109375" style="333" customWidth="1"/>
    <col min="11777" max="11777" width="63" style="333" customWidth="1"/>
    <col min="11778" max="11778" width="12.140625" style="333" customWidth="1"/>
    <col min="11779" max="11779" width="20" style="333" customWidth="1"/>
    <col min="11780" max="11780" width="10.85546875" style="333" customWidth="1"/>
    <col min="11781" max="11781" width="15.28515625" style="333" customWidth="1"/>
    <col min="11782" max="11784" width="13.85546875" style="333" customWidth="1"/>
    <col min="11785" max="11785" width="10.28515625" style="333" bestFit="1" customWidth="1"/>
    <col min="11786" max="12031" width="9.140625" style="333"/>
    <col min="12032" max="12032" width="10.7109375" style="333" customWidth="1"/>
    <col min="12033" max="12033" width="63" style="333" customWidth="1"/>
    <col min="12034" max="12034" width="12.140625" style="333" customWidth="1"/>
    <col min="12035" max="12035" width="20" style="333" customWidth="1"/>
    <col min="12036" max="12036" width="10.85546875" style="333" customWidth="1"/>
    <col min="12037" max="12037" width="15.28515625" style="333" customWidth="1"/>
    <col min="12038" max="12040" width="13.85546875" style="333" customWidth="1"/>
    <col min="12041" max="12041" width="10.28515625" style="333" bestFit="1" customWidth="1"/>
    <col min="12042" max="12287" width="9.140625" style="333"/>
    <col min="12288" max="12288" width="10.7109375" style="333" customWidth="1"/>
    <col min="12289" max="12289" width="63" style="333" customWidth="1"/>
    <col min="12290" max="12290" width="12.140625" style="333" customWidth="1"/>
    <col min="12291" max="12291" width="20" style="333" customWidth="1"/>
    <col min="12292" max="12292" width="10.85546875" style="333" customWidth="1"/>
    <col min="12293" max="12293" width="15.28515625" style="333" customWidth="1"/>
    <col min="12294" max="12296" width="13.85546875" style="333" customWidth="1"/>
    <col min="12297" max="12297" width="10.28515625" style="333" bestFit="1" customWidth="1"/>
    <col min="12298" max="12543" width="9.140625" style="333"/>
    <col min="12544" max="12544" width="10.7109375" style="333" customWidth="1"/>
    <col min="12545" max="12545" width="63" style="333" customWidth="1"/>
    <col min="12546" max="12546" width="12.140625" style="333" customWidth="1"/>
    <col min="12547" max="12547" width="20" style="333" customWidth="1"/>
    <col min="12548" max="12548" width="10.85546875" style="333" customWidth="1"/>
    <col min="12549" max="12549" width="15.28515625" style="333" customWidth="1"/>
    <col min="12550" max="12552" width="13.85546875" style="333" customWidth="1"/>
    <col min="12553" max="12553" width="10.28515625" style="333" bestFit="1" customWidth="1"/>
    <col min="12554" max="12799" width="9.140625" style="333"/>
    <col min="12800" max="12800" width="10.7109375" style="333" customWidth="1"/>
    <col min="12801" max="12801" width="63" style="333" customWidth="1"/>
    <col min="12802" max="12802" width="12.140625" style="333" customWidth="1"/>
    <col min="12803" max="12803" width="20" style="333" customWidth="1"/>
    <col min="12804" max="12804" width="10.85546875" style="333" customWidth="1"/>
    <col min="12805" max="12805" width="15.28515625" style="333" customWidth="1"/>
    <col min="12806" max="12808" width="13.85546875" style="333" customWidth="1"/>
    <col min="12809" max="12809" width="10.28515625" style="333" bestFit="1" customWidth="1"/>
    <col min="12810" max="13055" width="9.140625" style="333"/>
    <col min="13056" max="13056" width="10.7109375" style="333" customWidth="1"/>
    <col min="13057" max="13057" width="63" style="333" customWidth="1"/>
    <col min="13058" max="13058" width="12.140625" style="333" customWidth="1"/>
    <col min="13059" max="13059" width="20" style="333" customWidth="1"/>
    <col min="13060" max="13060" width="10.85546875" style="333" customWidth="1"/>
    <col min="13061" max="13061" width="15.28515625" style="333" customWidth="1"/>
    <col min="13062" max="13064" width="13.85546875" style="333" customWidth="1"/>
    <col min="13065" max="13065" width="10.28515625" style="333" bestFit="1" customWidth="1"/>
    <col min="13066" max="13311" width="9.140625" style="333"/>
    <col min="13312" max="13312" width="10.7109375" style="333" customWidth="1"/>
    <col min="13313" max="13313" width="63" style="333" customWidth="1"/>
    <col min="13314" max="13314" width="12.140625" style="333" customWidth="1"/>
    <col min="13315" max="13315" width="20" style="333" customWidth="1"/>
    <col min="13316" max="13316" width="10.85546875" style="333" customWidth="1"/>
    <col min="13317" max="13317" width="15.28515625" style="333" customWidth="1"/>
    <col min="13318" max="13320" width="13.85546875" style="333" customWidth="1"/>
    <col min="13321" max="13321" width="10.28515625" style="333" bestFit="1" customWidth="1"/>
    <col min="13322" max="13567" width="9.140625" style="333"/>
    <col min="13568" max="13568" width="10.7109375" style="333" customWidth="1"/>
    <col min="13569" max="13569" width="63" style="333" customWidth="1"/>
    <col min="13570" max="13570" width="12.140625" style="333" customWidth="1"/>
    <col min="13571" max="13571" width="20" style="333" customWidth="1"/>
    <col min="13572" max="13572" width="10.85546875" style="333" customWidth="1"/>
    <col min="13573" max="13573" width="15.28515625" style="333" customWidth="1"/>
    <col min="13574" max="13576" width="13.85546875" style="333" customWidth="1"/>
    <col min="13577" max="13577" width="10.28515625" style="333" bestFit="1" customWidth="1"/>
    <col min="13578" max="13823" width="9.140625" style="333"/>
    <col min="13824" max="13824" width="10.7109375" style="333" customWidth="1"/>
    <col min="13825" max="13825" width="63" style="333" customWidth="1"/>
    <col min="13826" max="13826" width="12.140625" style="333" customWidth="1"/>
    <col min="13827" max="13827" width="20" style="333" customWidth="1"/>
    <col min="13828" max="13828" width="10.85546875" style="333" customWidth="1"/>
    <col min="13829" max="13829" width="15.28515625" style="333" customWidth="1"/>
    <col min="13830" max="13832" width="13.85546875" style="333" customWidth="1"/>
    <col min="13833" max="13833" width="10.28515625" style="333" bestFit="1" customWidth="1"/>
    <col min="13834" max="14079" width="9.140625" style="333"/>
    <col min="14080" max="14080" width="10.7109375" style="333" customWidth="1"/>
    <col min="14081" max="14081" width="63" style="333" customWidth="1"/>
    <col min="14082" max="14082" width="12.140625" style="333" customWidth="1"/>
    <col min="14083" max="14083" width="20" style="333" customWidth="1"/>
    <col min="14084" max="14084" width="10.85546875" style="333" customWidth="1"/>
    <col min="14085" max="14085" width="15.28515625" style="333" customWidth="1"/>
    <col min="14086" max="14088" width="13.85546875" style="333" customWidth="1"/>
    <col min="14089" max="14089" width="10.28515625" style="333" bestFit="1" customWidth="1"/>
    <col min="14090" max="14335" width="9.140625" style="333"/>
    <col min="14336" max="14336" width="10.7109375" style="333" customWidth="1"/>
    <col min="14337" max="14337" width="63" style="333" customWidth="1"/>
    <col min="14338" max="14338" width="12.140625" style="333" customWidth="1"/>
    <col min="14339" max="14339" width="20" style="333" customWidth="1"/>
    <col min="14340" max="14340" width="10.85546875" style="333" customWidth="1"/>
    <col min="14341" max="14341" width="15.28515625" style="333" customWidth="1"/>
    <col min="14342" max="14344" width="13.85546875" style="333" customWidth="1"/>
    <col min="14345" max="14345" width="10.28515625" style="333" bestFit="1" customWidth="1"/>
    <col min="14346" max="14591" width="9.140625" style="333"/>
    <col min="14592" max="14592" width="10.7109375" style="333" customWidth="1"/>
    <col min="14593" max="14593" width="63" style="333" customWidth="1"/>
    <col min="14594" max="14594" width="12.140625" style="333" customWidth="1"/>
    <col min="14595" max="14595" width="20" style="333" customWidth="1"/>
    <col min="14596" max="14596" width="10.85546875" style="333" customWidth="1"/>
    <col min="14597" max="14597" width="15.28515625" style="333" customWidth="1"/>
    <col min="14598" max="14600" width="13.85546875" style="333" customWidth="1"/>
    <col min="14601" max="14601" width="10.28515625" style="333" bestFit="1" customWidth="1"/>
    <col min="14602" max="14847" width="9.140625" style="333"/>
    <col min="14848" max="14848" width="10.7109375" style="333" customWidth="1"/>
    <col min="14849" max="14849" width="63" style="333" customWidth="1"/>
    <col min="14850" max="14850" width="12.140625" style="333" customWidth="1"/>
    <col min="14851" max="14851" width="20" style="333" customWidth="1"/>
    <col min="14852" max="14852" width="10.85546875" style="333" customWidth="1"/>
    <col min="14853" max="14853" width="15.28515625" style="333" customWidth="1"/>
    <col min="14854" max="14856" width="13.85546875" style="333" customWidth="1"/>
    <col min="14857" max="14857" width="10.28515625" style="333" bestFit="1" customWidth="1"/>
    <col min="14858" max="15103" width="9.140625" style="333"/>
    <col min="15104" max="15104" width="10.7109375" style="333" customWidth="1"/>
    <col min="15105" max="15105" width="63" style="333" customWidth="1"/>
    <col min="15106" max="15106" width="12.140625" style="333" customWidth="1"/>
    <col min="15107" max="15107" width="20" style="333" customWidth="1"/>
    <col min="15108" max="15108" width="10.85546875" style="333" customWidth="1"/>
    <col min="15109" max="15109" width="15.28515625" style="333" customWidth="1"/>
    <col min="15110" max="15112" width="13.85546875" style="333" customWidth="1"/>
    <col min="15113" max="15113" width="10.28515625" style="333" bestFit="1" customWidth="1"/>
    <col min="15114" max="15359" width="9.140625" style="333"/>
    <col min="15360" max="15360" width="10.7109375" style="333" customWidth="1"/>
    <col min="15361" max="15361" width="63" style="333" customWidth="1"/>
    <col min="15362" max="15362" width="12.140625" style="333" customWidth="1"/>
    <col min="15363" max="15363" width="20" style="333" customWidth="1"/>
    <col min="15364" max="15364" width="10.85546875" style="333" customWidth="1"/>
    <col min="15365" max="15365" width="15.28515625" style="333" customWidth="1"/>
    <col min="15366" max="15368" width="13.85546875" style="333" customWidth="1"/>
    <col min="15369" max="15369" width="10.28515625" style="333" bestFit="1" customWidth="1"/>
    <col min="15370" max="15615" width="9.140625" style="333"/>
    <col min="15616" max="15616" width="10.7109375" style="333" customWidth="1"/>
    <col min="15617" max="15617" width="63" style="333" customWidth="1"/>
    <col min="15618" max="15618" width="12.140625" style="333" customWidth="1"/>
    <col min="15619" max="15619" width="20" style="333" customWidth="1"/>
    <col min="15620" max="15620" width="10.85546875" style="333" customWidth="1"/>
    <col min="15621" max="15621" width="15.28515625" style="333" customWidth="1"/>
    <col min="15622" max="15624" width="13.85546875" style="333" customWidth="1"/>
    <col min="15625" max="15625" width="10.28515625" style="333" bestFit="1" customWidth="1"/>
    <col min="15626" max="15871" width="9.140625" style="333"/>
    <col min="15872" max="15872" width="10.7109375" style="333" customWidth="1"/>
    <col min="15873" max="15873" width="63" style="333" customWidth="1"/>
    <col min="15874" max="15874" width="12.140625" style="333" customWidth="1"/>
    <col min="15875" max="15875" width="20" style="333" customWidth="1"/>
    <col min="15876" max="15876" width="10.85546875" style="333" customWidth="1"/>
    <col min="15877" max="15877" width="15.28515625" style="333" customWidth="1"/>
    <col min="15878" max="15880" width="13.85546875" style="333" customWidth="1"/>
    <col min="15881" max="15881" width="10.28515625" style="333" bestFit="1" customWidth="1"/>
    <col min="15882" max="16127" width="9.140625" style="333"/>
    <col min="16128" max="16128" width="10.7109375" style="333" customWidth="1"/>
    <col min="16129" max="16129" width="63" style="333" customWidth="1"/>
    <col min="16130" max="16130" width="12.140625" style="333" customWidth="1"/>
    <col min="16131" max="16131" width="20" style="333" customWidth="1"/>
    <col min="16132" max="16132" width="10.85546875" style="333" customWidth="1"/>
    <col min="16133" max="16133" width="15.28515625" style="333" customWidth="1"/>
    <col min="16134" max="16136" width="13.85546875" style="333" customWidth="1"/>
    <col min="16137" max="16137" width="10.28515625" style="333" bestFit="1" customWidth="1"/>
    <col min="16138" max="16384" width="9.140625" style="333"/>
  </cols>
  <sheetData>
    <row r="1" spans="1:16" s="316" customFormat="1" ht="13.5" customHeight="1" x14ac:dyDescent="0.2">
      <c r="A1" s="486" t="s">
        <v>357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8"/>
    </row>
    <row r="2" spans="1:16" s="317" customFormat="1" ht="16.5" customHeight="1" x14ac:dyDescent="0.2">
      <c r="A2" s="489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1"/>
    </row>
    <row r="3" spans="1:16" s="318" customFormat="1" ht="24" customHeight="1" thickBot="1" x14ac:dyDescent="0.25">
      <c r="A3" s="492" t="str">
        <f>[1]Orçamento!A2</f>
        <v>PREFEITURA MUNICIPAL DE ARROIO DO MEIO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4"/>
    </row>
    <row r="4" spans="1:16" s="319" customFormat="1" ht="21.75" customHeight="1" x14ac:dyDescent="0.2">
      <c r="A4" s="478" t="str">
        <f>Orçamento!A4</f>
        <v>COLETA, TRANSPORTE, ARMAZENAMENTO, TRIAGEM E TRANSPORTE AO DESTINO FINAL DE RESÍDUOS SÓLIDOS DOMICILIARES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</row>
    <row r="5" spans="1:16" s="319" customFormat="1" ht="21.75" customHeight="1" thickBot="1" x14ac:dyDescent="0.25">
      <c r="A5" s="481" t="s">
        <v>369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3"/>
    </row>
    <row r="6" spans="1:16" s="320" customFormat="1" ht="22.5" customHeight="1" thickBot="1" x14ac:dyDescent="0.25">
      <c r="A6" s="484" t="s">
        <v>358</v>
      </c>
      <c r="B6" s="343" t="s">
        <v>359</v>
      </c>
      <c r="C6" s="344" t="s">
        <v>360</v>
      </c>
      <c r="D6" s="345" t="s">
        <v>361</v>
      </c>
      <c r="E6" s="475" t="s">
        <v>362</v>
      </c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7"/>
    </row>
    <row r="7" spans="1:16" s="326" customFormat="1" ht="26.25" customHeight="1" thickTop="1" thickBot="1" x14ac:dyDescent="0.25">
      <c r="A7" s="485"/>
      <c r="B7" s="321"/>
      <c r="C7" s="323" t="s">
        <v>363</v>
      </c>
      <c r="D7" s="322" t="s">
        <v>364</v>
      </c>
      <c r="E7" s="324" t="s">
        <v>365</v>
      </c>
      <c r="F7" s="324" t="s">
        <v>366</v>
      </c>
      <c r="G7" s="324" t="s">
        <v>367</v>
      </c>
      <c r="H7" s="325" t="s">
        <v>368</v>
      </c>
      <c r="I7" s="324" t="s">
        <v>370</v>
      </c>
      <c r="J7" s="324" t="s">
        <v>371</v>
      </c>
      <c r="K7" s="324" t="s">
        <v>372</v>
      </c>
      <c r="L7" s="325" t="s">
        <v>373</v>
      </c>
      <c r="M7" s="324" t="s">
        <v>374</v>
      </c>
      <c r="N7" s="324" t="s">
        <v>375</v>
      </c>
      <c r="O7" s="324" t="s">
        <v>376</v>
      </c>
      <c r="P7" s="325" t="s">
        <v>377</v>
      </c>
    </row>
    <row r="8" spans="1:16" ht="26.1" customHeight="1" thickTop="1" x14ac:dyDescent="0.2">
      <c r="A8" s="342">
        <v>1</v>
      </c>
      <c r="B8" s="327" t="str">
        <f>Orçamento!A9</f>
        <v>1. Mão-de-obra</v>
      </c>
      <c r="C8" s="328">
        <f>E8*12</f>
        <v>909848.58739546686</v>
      </c>
      <c r="D8" s="329">
        <f>C8/$C$15</f>
        <v>0.29216181120773083</v>
      </c>
      <c r="E8" s="330">
        <f>Orçamento!E9</f>
        <v>75820.7156162889</v>
      </c>
      <c r="F8" s="330">
        <f>E8</f>
        <v>75820.7156162889</v>
      </c>
      <c r="G8" s="330">
        <f>E8</f>
        <v>75820.7156162889</v>
      </c>
      <c r="H8" s="331">
        <f>E8</f>
        <v>75820.7156162889</v>
      </c>
      <c r="I8" s="330">
        <f>E8</f>
        <v>75820.7156162889</v>
      </c>
      <c r="J8" s="330">
        <f>E8</f>
        <v>75820.7156162889</v>
      </c>
      <c r="K8" s="330">
        <f>E8</f>
        <v>75820.7156162889</v>
      </c>
      <c r="L8" s="331">
        <f>E8</f>
        <v>75820.7156162889</v>
      </c>
      <c r="M8" s="330">
        <f>E8</f>
        <v>75820.7156162889</v>
      </c>
      <c r="N8" s="330">
        <f>E8</f>
        <v>75820.7156162889</v>
      </c>
      <c r="O8" s="330">
        <f>E8</f>
        <v>75820.7156162889</v>
      </c>
      <c r="P8" s="331">
        <f>E8</f>
        <v>75820.7156162889</v>
      </c>
    </row>
    <row r="9" spans="1:16" ht="26.1" customHeight="1" x14ac:dyDescent="0.2">
      <c r="A9" s="342">
        <v>2</v>
      </c>
      <c r="B9" s="327" t="str">
        <f>Orçamento!A19</f>
        <v>2. Uniformes e Equipamentos de Proteção Individual</v>
      </c>
      <c r="C9" s="328">
        <f t="shared" ref="C9:C14" si="0">E9*12</f>
        <v>42251.801989752625</v>
      </c>
      <c r="D9" s="329">
        <f t="shared" ref="D9:D14" si="1">C9/$C$15</f>
        <v>1.3567491522357047E-2</v>
      </c>
      <c r="E9" s="330">
        <f>Orçamento!E19</f>
        <v>3520.9834991460521</v>
      </c>
      <c r="F9" s="330">
        <f t="shared" ref="F9:F14" si="2">E9</f>
        <v>3520.9834991460521</v>
      </c>
      <c r="G9" s="330">
        <f t="shared" ref="G9:G14" si="3">E9</f>
        <v>3520.9834991460521</v>
      </c>
      <c r="H9" s="331">
        <f t="shared" ref="H9:H14" si="4">E9</f>
        <v>3520.9834991460521</v>
      </c>
      <c r="I9" s="330">
        <f t="shared" ref="I9:I14" si="5">E9</f>
        <v>3520.9834991460521</v>
      </c>
      <c r="J9" s="330">
        <f t="shared" ref="J9:J14" si="6">E9</f>
        <v>3520.9834991460521</v>
      </c>
      <c r="K9" s="330">
        <f t="shared" ref="K9:K14" si="7">E9</f>
        <v>3520.9834991460521</v>
      </c>
      <c r="L9" s="331">
        <f t="shared" ref="L9:L14" si="8">E9</f>
        <v>3520.9834991460521</v>
      </c>
      <c r="M9" s="330">
        <f t="shared" ref="M9:M14" si="9">E9</f>
        <v>3520.9834991460521</v>
      </c>
      <c r="N9" s="330">
        <f t="shared" ref="N9:N14" si="10">E9</f>
        <v>3520.9834991460521</v>
      </c>
      <c r="O9" s="330">
        <f t="shared" ref="O9:O14" si="11">E9</f>
        <v>3520.9834991460521</v>
      </c>
      <c r="P9" s="331">
        <f t="shared" ref="P9:P14" si="12">E9</f>
        <v>3520.9834991460521</v>
      </c>
    </row>
    <row r="10" spans="1:16" ht="26.1" customHeight="1" x14ac:dyDescent="0.2">
      <c r="A10" s="342">
        <v>3</v>
      </c>
      <c r="B10" s="327" t="str">
        <f>Orçamento!A20</f>
        <v>3. Veículos e Equipamentos</v>
      </c>
      <c r="C10" s="328">
        <f t="shared" si="0"/>
        <v>1367124.0925551509</v>
      </c>
      <c r="D10" s="329">
        <f t="shared" si="1"/>
        <v>0.43899771518030528</v>
      </c>
      <c r="E10" s="330">
        <f>Orçamento!E20</f>
        <v>113927.00771292925</v>
      </c>
      <c r="F10" s="330">
        <f t="shared" si="2"/>
        <v>113927.00771292925</v>
      </c>
      <c r="G10" s="330">
        <f t="shared" si="3"/>
        <v>113927.00771292925</v>
      </c>
      <c r="H10" s="331">
        <f t="shared" si="4"/>
        <v>113927.00771292925</v>
      </c>
      <c r="I10" s="330">
        <f t="shared" si="5"/>
        <v>113927.00771292925</v>
      </c>
      <c r="J10" s="330">
        <f t="shared" si="6"/>
        <v>113927.00771292925</v>
      </c>
      <c r="K10" s="330">
        <f t="shared" si="7"/>
        <v>113927.00771292925</v>
      </c>
      <c r="L10" s="331">
        <f t="shared" si="8"/>
        <v>113927.00771292925</v>
      </c>
      <c r="M10" s="330">
        <f t="shared" si="9"/>
        <v>113927.00771292925</v>
      </c>
      <c r="N10" s="330">
        <f t="shared" si="10"/>
        <v>113927.00771292925</v>
      </c>
      <c r="O10" s="330">
        <f t="shared" si="11"/>
        <v>113927.00771292925</v>
      </c>
      <c r="P10" s="331">
        <f t="shared" si="12"/>
        <v>113927.00771292925</v>
      </c>
    </row>
    <row r="11" spans="1:16" s="332" customFormat="1" ht="24.95" customHeight="1" x14ac:dyDescent="0.2">
      <c r="A11" s="342">
        <v>4</v>
      </c>
      <c r="B11" s="327" t="str">
        <f>Orçamento!A70</f>
        <v>4. Ferramentas e Materiais de Consumo</v>
      </c>
      <c r="C11" s="328">
        <f t="shared" si="0"/>
        <v>3426.5790000699217</v>
      </c>
      <c r="D11" s="329">
        <f t="shared" si="1"/>
        <v>1.1003100304552843E-3</v>
      </c>
      <c r="E11" s="330">
        <f>Orçamento!E70</f>
        <v>285.54825000582679</v>
      </c>
      <c r="F11" s="330">
        <f t="shared" si="2"/>
        <v>285.54825000582679</v>
      </c>
      <c r="G11" s="330">
        <f t="shared" si="3"/>
        <v>285.54825000582679</v>
      </c>
      <c r="H11" s="331">
        <f t="shared" si="4"/>
        <v>285.54825000582679</v>
      </c>
      <c r="I11" s="330">
        <f t="shared" si="5"/>
        <v>285.54825000582679</v>
      </c>
      <c r="J11" s="330">
        <f t="shared" si="6"/>
        <v>285.54825000582679</v>
      </c>
      <c r="K11" s="330">
        <f t="shared" si="7"/>
        <v>285.54825000582679</v>
      </c>
      <c r="L11" s="331">
        <f t="shared" si="8"/>
        <v>285.54825000582679</v>
      </c>
      <c r="M11" s="330">
        <f t="shared" si="9"/>
        <v>285.54825000582679</v>
      </c>
      <c r="N11" s="330">
        <f t="shared" si="10"/>
        <v>285.54825000582679</v>
      </c>
      <c r="O11" s="330">
        <f t="shared" si="11"/>
        <v>285.54825000582679</v>
      </c>
      <c r="P11" s="331">
        <f t="shared" si="12"/>
        <v>285.54825000582679</v>
      </c>
    </row>
    <row r="12" spans="1:16" s="326" customFormat="1" ht="26.1" customHeight="1" x14ac:dyDescent="0.2">
      <c r="A12" s="342">
        <v>5</v>
      </c>
      <c r="B12" s="327" t="str">
        <f>Orçamento!A71</f>
        <v>5. Monitoramento da Frota</v>
      </c>
      <c r="C12" s="328">
        <f t="shared" si="0"/>
        <v>6622.5685999015022</v>
      </c>
      <c r="D12" s="329">
        <f t="shared" si="1"/>
        <v>2.1265754146339941E-3</v>
      </c>
      <c r="E12" s="330">
        <f>Orçamento!E71</f>
        <v>551.88071665845848</v>
      </c>
      <c r="F12" s="330">
        <f t="shared" si="2"/>
        <v>551.88071665845848</v>
      </c>
      <c r="G12" s="330">
        <f t="shared" si="3"/>
        <v>551.88071665845848</v>
      </c>
      <c r="H12" s="331">
        <f t="shared" si="4"/>
        <v>551.88071665845848</v>
      </c>
      <c r="I12" s="330">
        <f t="shared" si="5"/>
        <v>551.88071665845848</v>
      </c>
      <c r="J12" s="330">
        <f t="shared" si="6"/>
        <v>551.88071665845848</v>
      </c>
      <c r="K12" s="330">
        <f t="shared" si="7"/>
        <v>551.88071665845848</v>
      </c>
      <c r="L12" s="331">
        <f t="shared" si="8"/>
        <v>551.88071665845848</v>
      </c>
      <c r="M12" s="330">
        <f t="shared" si="9"/>
        <v>551.88071665845848</v>
      </c>
      <c r="N12" s="330">
        <f t="shared" si="10"/>
        <v>551.88071665845848</v>
      </c>
      <c r="O12" s="330">
        <f t="shared" si="11"/>
        <v>551.88071665845848</v>
      </c>
      <c r="P12" s="331">
        <f t="shared" si="12"/>
        <v>551.88071665845848</v>
      </c>
    </row>
    <row r="13" spans="1:16" ht="26.1" customHeight="1" x14ac:dyDescent="0.2">
      <c r="A13" s="342">
        <v>6</v>
      </c>
      <c r="B13" s="327" t="str">
        <f>Orçamento!A72</f>
        <v>6. Deposição no Aterro</v>
      </c>
      <c r="C13" s="328">
        <f t="shared" si="0"/>
        <v>244800</v>
      </c>
      <c r="D13" s="329">
        <f t="shared" si="1"/>
        <v>7.8607817140640038E-2</v>
      </c>
      <c r="E13" s="330">
        <f>Orçamento!E72</f>
        <v>20400</v>
      </c>
      <c r="F13" s="330">
        <f t="shared" si="2"/>
        <v>20400</v>
      </c>
      <c r="G13" s="330">
        <f t="shared" si="3"/>
        <v>20400</v>
      </c>
      <c r="H13" s="331">
        <f t="shared" si="4"/>
        <v>20400</v>
      </c>
      <c r="I13" s="330">
        <f t="shared" si="5"/>
        <v>20400</v>
      </c>
      <c r="J13" s="330">
        <f t="shared" si="6"/>
        <v>20400</v>
      </c>
      <c r="K13" s="330">
        <f t="shared" si="7"/>
        <v>20400</v>
      </c>
      <c r="L13" s="331">
        <f t="shared" si="8"/>
        <v>20400</v>
      </c>
      <c r="M13" s="330">
        <f t="shared" si="9"/>
        <v>20400</v>
      </c>
      <c r="N13" s="330">
        <f t="shared" si="10"/>
        <v>20400</v>
      </c>
      <c r="O13" s="330">
        <f t="shared" si="11"/>
        <v>20400</v>
      </c>
      <c r="P13" s="331">
        <f t="shared" si="12"/>
        <v>20400</v>
      </c>
    </row>
    <row r="14" spans="1:16" ht="26.1" customHeight="1" thickBot="1" x14ac:dyDescent="0.25">
      <c r="A14" s="342">
        <v>7</v>
      </c>
      <c r="B14" s="327" t="str">
        <f>Orçamento!A73</f>
        <v>7. Benefícios e Despesas Indiretas - BDI</v>
      </c>
      <c r="C14" s="328">
        <f t="shared" si="0"/>
        <v>540120.46596570255</v>
      </c>
      <c r="D14" s="329">
        <f t="shared" si="1"/>
        <v>0.17343827950387758</v>
      </c>
      <c r="E14" s="330">
        <f>Orçamento!E73</f>
        <v>45010.038830475212</v>
      </c>
      <c r="F14" s="330">
        <f t="shared" si="2"/>
        <v>45010.038830475212</v>
      </c>
      <c r="G14" s="330">
        <f t="shared" si="3"/>
        <v>45010.038830475212</v>
      </c>
      <c r="H14" s="331">
        <f t="shared" si="4"/>
        <v>45010.038830475212</v>
      </c>
      <c r="I14" s="330">
        <f t="shared" si="5"/>
        <v>45010.038830475212</v>
      </c>
      <c r="J14" s="330">
        <f t="shared" si="6"/>
        <v>45010.038830475212</v>
      </c>
      <c r="K14" s="330">
        <f t="shared" si="7"/>
        <v>45010.038830475212</v>
      </c>
      <c r="L14" s="331">
        <f t="shared" si="8"/>
        <v>45010.038830475212</v>
      </c>
      <c r="M14" s="330">
        <f t="shared" si="9"/>
        <v>45010.038830475212</v>
      </c>
      <c r="N14" s="330">
        <f t="shared" si="10"/>
        <v>45010.038830475212</v>
      </c>
      <c r="O14" s="330">
        <f t="shared" si="11"/>
        <v>45010.038830475212</v>
      </c>
      <c r="P14" s="331">
        <f t="shared" si="12"/>
        <v>45010.038830475212</v>
      </c>
    </row>
    <row r="15" spans="1:16" s="320" customFormat="1" ht="26.1" customHeight="1" thickBot="1" x14ac:dyDescent="0.25">
      <c r="A15" s="334"/>
      <c r="B15" s="335" t="str">
        <f>[1]Orçamento!A73</f>
        <v>TOTAL GERAL DO ORÇAMENTO:</v>
      </c>
      <c r="C15" s="336">
        <f>SUM(C8:C14)</f>
        <v>3114194.0955060441</v>
      </c>
      <c r="D15" s="337">
        <f>SUM(D8:D14)</f>
        <v>1</v>
      </c>
      <c r="E15" s="338">
        <f>SUM(E8:E14)</f>
        <v>259516.17462550369</v>
      </c>
      <c r="F15" s="338">
        <f t="shared" ref="F15:O15" si="13">SUM(F8:F14)</f>
        <v>259516.17462550369</v>
      </c>
      <c r="G15" s="338">
        <f t="shared" si="13"/>
        <v>259516.17462550369</v>
      </c>
      <c r="H15" s="338">
        <f t="shared" si="13"/>
        <v>259516.17462550369</v>
      </c>
      <c r="I15" s="339">
        <f t="shared" si="13"/>
        <v>259516.17462550369</v>
      </c>
      <c r="J15" s="339">
        <f t="shared" si="13"/>
        <v>259516.17462550369</v>
      </c>
      <c r="K15" s="339">
        <f t="shared" si="13"/>
        <v>259516.17462550369</v>
      </c>
      <c r="L15" s="339">
        <f t="shared" si="13"/>
        <v>259516.17462550369</v>
      </c>
      <c r="M15" s="339">
        <f t="shared" si="13"/>
        <v>259516.17462550369</v>
      </c>
      <c r="N15" s="339">
        <f t="shared" si="13"/>
        <v>259516.17462550369</v>
      </c>
      <c r="O15" s="339">
        <f t="shared" si="13"/>
        <v>259516.17462550369</v>
      </c>
      <c r="P15" s="339">
        <f>SUM(P8:P14)</f>
        <v>259516.17462550369</v>
      </c>
    </row>
  </sheetData>
  <mergeCells count="6">
    <mergeCell ref="E6:P6"/>
    <mergeCell ref="A4:P4"/>
    <mergeCell ref="A5:P5"/>
    <mergeCell ref="A6:A7"/>
    <mergeCell ref="A1:P2"/>
    <mergeCell ref="A3:P3"/>
  </mergeCells>
  <pageMargins left="0.9055118110236221" right="0.51181102362204722" top="2.5196850393700787" bottom="0.74803149606299213" header="0.31496062992125984" footer="0.31496062992125984"/>
  <pageSetup paperSize="9" scale="52" fitToHeight="0" orientation="landscape" r:id="rId1"/>
  <headerFooter alignWithMargins="0"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4"/>
  <sheetViews>
    <sheetView view="pageBreakPreview" topLeftCell="A237" zoomScaleNormal="100" zoomScaleSheetLayoutView="100" workbookViewId="0">
      <selection activeCell="D192" sqref="D192"/>
    </sheetView>
  </sheetViews>
  <sheetFormatPr defaultColWidth="9.140625" defaultRowHeight="15.75" x14ac:dyDescent="0.2"/>
  <cols>
    <col min="1" max="1" width="49.28515625" style="98" customWidth="1"/>
    <col min="2" max="2" width="19.85546875" style="98" customWidth="1"/>
    <col min="3" max="3" width="16.42578125" style="98" customWidth="1"/>
    <col min="4" max="4" width="14.7109375" style="130" customWidth="1"/>
    <col min="5" max="5" width="15.42578125" style="130" customWidth="1"/>
    <col min="6" max="6" width="13.28515625" style="130" customWidth="1"/>
    <col min="7" max="7" width="28.140625" style="130" customWidth="1"/>
    <col min="8" max="8" width="17.5703125" style="98" customWidth="1"/>
    <col min="9" max="9" width="17.140625" style="98" customWidth="1"/>
    <col min="10" max="10" width="16.5703125" style="98" customWidth="1"/>
    <col min="11" max="11" width="17" style="98" customWidth="1"/>
    <col min="12" max="12" width="18.42578125" style="98" customWidth="1"/>
    <col min="13" max="13" width="18.28515625" style="98" customWidth="1"/>
    <col min="14" max="14" width="9.140625" style="98"/>
    <col min="15" max="15" width="15.85546875" style="98" bestFit="1" customWidth="1"/>
    <col min="16" max="16384" width="9.140625" style="98"/>
  </cols>
  <sheetData>
    <row r="1" spans="1:15" x14ac:dyDescent="0.2">
      <c r="A1" s="466" t="s">
        <v>197</v>
      </c>
      <c r="B1" s="466"/>
      <c r="C1" s="466"/>
      <c r="D1" s="466"/>
      <c r="E1" s="466"/>
      <c r="F1" s="466"/>
    </row>
    <row r="2" spans="1:15" ht="15.6" customHeight="1" x14ac:dyDescent="0.2">
      <c r="A2" s="467" t="s">
        <v>298</v>
      </c>
      <c r="B2" s="467"/>
      <c r="C2" s="467"/>
      <c r="D2" s="467"/>
      <c r="E2" s="467"/>
      <c r="F2" s="467"/>
    </row>
    <row r="3" spans="1:15" ht="15.6" customHeight="1" x14ac:dyDescent="0.2">
      <c r="A3" s="519" t="s">
        <v>299</v>
      </c>
      <c r="B3" s="519"/>
      <c r="C3" s="519"/>
      <c r="D3" s="519"/>
      <c r="E3" s="519"/>
      <c r="F3" s="519"/>
    </row>
    <row r="4" spans="1:15" ht="16.5" customHeight="1" thickBot="1" x14ac:dyDescent="0.25">
      <c r="A4" s="468"/>
      <c r="B4" s="468"/>
      <c r="C4" s="468"/>
      <c r="D4" s="468"/>
      <c r="E4" s="468"/>
      <c r="F4" s="468"/>
    </row>
    <row r="5" spans="1:15" x14ac:dyDescent="0.2">
      <c r="A5" s="469" t="s">
        <v>558</v>
      </c>
      <c r="B5" s="470"/>
      <c r="C5" s="470"/>
      <c r="D5" s="470"/>
      <c r="E5" s="470"/>
      <c r="F5" s="471"/>
    </row>
    <row r="6" spans="1:15" ht="21.75" customHeight="1" x14ac:dyDescent="0.2">
      <c r="A6" s="472" t="s">
        <v>44</v>
      </c>
      <c r="B6" s="473"/>
      <c r="C6" s="473"/>
      <c r="D6" s="473"/>
      <c r="E6" s="473"/>
      <c r="F6" s="474"/>
    </row>
    <row r="7" spans="1:15" ht="10.9" customHeight="1" thickBot="1" x14ac:dyDescent="0.25">
      <c r="A7" s="131"/>
      <c r="B7" s="108"/>
      <c r="C7" s="108"/>
      <c r="D7" s="132"/>
      <c r="E7" s="132"/>
      <c r="F7" s="133"/>
    </row>
    <row r="8" spans="1:15" ht="15.75" customHeight="1" thickBot="1" x14ac:dyDescent="0.25">
      <c r="A8" s="463" t="s">
        <v>196</v>
      </c>
      <c r="B8" s="464"/>
      <c r="C8" s="464"/>
      <c r="D8" s="464"/>
      <c r="E8" s="464"/>
      <c r="F8" s="465"/>
    </row>
    <row r="9" spans="1:15" ht="15.75" customHeight="1" x14ac:dyDescent="0.2">
      <c r="A9" s="134" t="s">
        <v>195</v>
      </c>
      <c r="B9" s="135"/>
      <c r="C9" s="135"/>
      <c r="D9" s="136"/>
      <c r="E9" s="137" t="s">
        <v>39</v>
      </c>
      <c r="F9" s="138" t="s">
        <v>2</v>
      </c>
    </row>
    <row r="10" spans="1:15" s="107" customFormat="1" ht="15.75" customHeight="1" x14ac:dyDescent="0.2">
      <c r="A10" s="139" t="str">
        <f>A43</f>
        <v>1. Mão-de-obra</v>
      </c>
      <c r="B10" s="140"/>
      <c r="C10" s="141"/>
      <c r="D10" s="141"/>
      <c r="E10" s="142">
        <f>SUM(E11:E15)</f>
        <v>12409.664374876887</v>
      </c>
      <c r="F10" s="143">
        <f t="shared" ref="F10:F27" si="0">IFERROR(E10/$E$28,0)</f>
        <v>0.33104609040205035</v>
      </c>
      <c r="G10" s="382"/>
      <c r="H10" s="382"/>
      <c r="I10" s="382"/>
      <c r="J10" s="382"/>
      <c r="K10" s="382"/>
      <c r="L10" s="382"/>
      <c r="M10" s="382"/>
      <c r="N10" s="382"/>
      <c r="O10" s="382"/>
    </row>
    <row r="11" spans="1:15" ht="15.75" customHeight="1" x14ac:dyDescent="0.2">
      <c r="A11" s="144" t="str">
        <f>A45</f>
        <v>1.1. Coletor Turno Noite</v>
      </c>
      <c r="B11" s="145"/>
      <c r="C11" s="146"/>
      <c r="D11" s="146"/>
      <c r="E11" s="147">
        <f>F62</f>
        <v>7396.3151393832986</v>
      </c>
      <c r="F11" s="148">
        <f t="shared" si="0"/>
        <v>0.19730760932030672</v>
      </c>
      <c r="G11" s="381"/>
      <c r="H11" s="381"/>
      <c r="I11" s="381"/>
      <c r="J11" s="381"/>
      <c r="K11" s="381"/>
      <c r="L11" s="381"/>
      <c r="M11" s="381"/>
      <c r="N11" s="381"/>
      <c r="O11" s="381"/>
    </row>
    <row r="12" spans="1:15" ht="15.75" customHeight="1" x14ac:dyDescent="0.2">
      <c r="A12" s="144" t="str">
        <f>A64</f>
        <v>1.3. Motorista Turno Noite</v>
      </c>
      <c r="B12" s="145"/>
      <c r="C12" s="146"/>
      <c r="D12" s="146"/>
      <c r="E12" s="147">
        <f>F83</f>
        <v>3591.5210085122853</v>
      </c>
      <c r="F12" s="148">
        <f t="shared" si="0"/>
        <v>9.5809117196742594E-2</v>
      </c>
      <c r="G12" s="381"/>
      <c r="H12" s="381"/>
      <c r="I12" s="381"/>
      <c r="J12" s="381"/>
      <c r="K12" s="381"/>
      <c r="L12" s="381"/>
      <c r="M12" s="381"/>
      <c r="N12" s="381"/>
      <c r="O12" s="381"/>
    </row>
    <row r="13" spans="1:15" ht="15.75" customHeight="1" x14ac:dyDescent="0.2">
      <c r="A13" s="144" t="str">
        <f>A85</f>
        <v>1.7. Vale Transporte</v>
      </c>
      <c r="B13" s="145"/>
      <c r="C13" s="146"/>
      <c r="D13" s="146"/>
      <c r="E13" s="147">
        <f>F91</f>
        <v>364.05930919310515</v>
      </c>
      <c r="F13" s="148">
        <f t="shared" si="0"/>
        <v>9.7118187359554863E-3</v>
      </c>
      <c r="G13" s="381"/>
      <c r="H13" s="381"/>
      <c r="I13" s="381"/>
      <c r="J13" s="381"/>
      <c r="K13" s="381"/>
      <c r="L13" s="381"/>
      <c r="M13" s="381"/>
      <c r="N13" s="381"/>
      <c r="O13" s="381"/>
    </row>
    <row r="14" spans="1:15" ht="15.75" customHeight="1" x14ac:dyDescent="0.2">
      <c r="A14" s="144" t="str">
        <f>A93</f>
        <v>1.8. Vale-refeição (diário)</v>
      </c>
      <c r="B14" s="145"/>
      <c r="C14" s="146"/>
      <c r="D14" s="146"/>
      <c r="E14" s="147">
        <f>F98</f>
        <v>965.22710399999994</v>
      </c>
      <c r="F14" s="148">
        <f t="shared" si="0"/>
        <v>2.5748855849492967E-2</v>
      </c>
      <c r="G14" s="381"/>
      <c r="H14" s="381"/>
      <c r="I14" s="381"/>
      <c r="J14" s="381"/>
      <c r="K14" s="381"/>
      <c r="L14" s="381"/>
      <c r="M14" s="381"/>
      <c r="N14" s="381"/>
      <c r="O14" s="381"/>
    </row>
    <row r="15" spans="1:15" ht="15.75" customHeight="1" x14ac:dyDescent="0.2">
      <c r="A15" s="144" t="str">
        <f>A100</f>
        <v>1.9. Auxílio Alimentação (mensal)</v>
      </c>
      <c r="B15" s="145"/>
      <c r="C15" s="146"/>
      <c r="D15" s="146"/>
      <c r="E15" s="147">
        <f>F104</f>
        <v>92.541813788196478</v>
      </c>
      <c r="F15" s="148">
        <f t="shared" si="0"/>
        <v>2.4686892995525456E-3</v>
      </c>
      <c r="G15" s="381"/>
      <c r="H15" s="381"/>
      <c r="I15" s="381"/>
      <c r="J15" s="381"/>
      <c r="K15" s="381"/>
      <c r="L15" s="381"/>
      <c r="M15" s="381"/>
      <c r="N15" s="381"/>
      <c r="O15" s="381"/>
    </row>
    <row r="16" spans="1:15" s="107" customFormat="1" ht="15.75" customHeight="1" x14ac:dyDescent="0.2">
      <c r="A16" s="512" t="str">
        <f>A108</f>
        <v>2. Uniformes e Equipamentos de Proteção Individual</v>
      </c>
      <c r="B16" s="513"/>
      <c r="C16" s="513"/>
      <c r="D16" s="141"/>
      <c r="E16" s="142">
        <f>+F140</f>
        <v>567.11373750000007</v>
      </c>
      <c r="F16" s="143">
        <f t="shared" si="0"/>
        <v>1.5128594935471992E-2</v>
      </c>
      <c r="G16" s="382"/>
      <c r="H16" s="382"/>
      <c r="I16" s="382"/>
      <c r="J16" s="382"/>
      <c r="K16" s="382"/>
      <c r="L16" s="382"/>
      <c r="M16" s="382"/>
      <c r="N16" s="382"/>
      <c r="O16" s="382"/>
    </row>
    <row r="17" spans="1:15" s="107" customFormat="1" ht="15.75" customHeight="1" x14ac:dyDescent="0.2">
      <c r="A17" s="149" t="str">
        <f>A142</f>
        <v>3. Veículos e Equipamentos</v>
      </c>
      <c r="B17" s="150"/>
      <c r="C17" s="141"/>
      <c r="D17" s="141"/>
      <c r="E17" s="142">
        <f>E18</f>
        <v>17635.354484996431</v>
      </c>
      <c r="F17" s="143">
        <f t="shared" si="0"/>
        <v>0.4704490773281087</v>
      </c>
      <c r="G17" s="382"/>
      <c r="H17" s="382"/>
      <c r="I17" s="382"/>
      <c r="J17" s="382"/>
      <c r="K17" s="382"/>
      <c r="L17" s="382"/>
      <c r="M17" s="382"/>
      <c r="N17" s="382"/>
      <c r="O17" s="382"/>
    </row>
    <row r="18" spans="1:15" ht="15.75" customHeight="1" x14ac:dyDescent="0.2">
      <c r="A18" s="151" t="str">
        <f>A144</f>
        <v>3.1. Veículo Coletor Compactador 15 m³ (mínimo)</v>
      </c>
      <c r="B18" s="152"/>
      <c r="C18" s="146"/>
      <c r="D18" s="146"/>
      <c r="E18" s="147">
        <f>SUM(E19:E24)</f>
        <v>17635.354484996431</v>
      </c>
      <c r="F18" s="148">
        <f t="shared" si="0"/>
        <v>0.4704490773281087</v>
      </c>
      <c r="G18" s="381"/>
      <c r="H18" s="381"/>
      <c r="I18" s="381"/>
      <c r="J18" s="381"/>
      <c r="K18" s="381"/>
      <c r="L18" s="381"/>
      <c r="M18" s="381"/>
      <c r="N18" s="381"/>
      <c r="O18" s="381"/>
    </row>
    <row r="19" spans="1:15" ht="15.75" customHeight="1" x14ac:dyDescent="0.2">
      <c r="A19" s="151" t="str">
        <f>A146</f>
        <v>3.1.1. Depreciação</v>
      </c>
      <c r="B19" s="152"/>
      <c r="C19" s="146"/>
      <c r="D19" s="146"/>
      <c r="E19" s="147">
        <f>F160</f>
        <v>4563.6998971205967</v>
      </c>
      <c r="F19" s="148">
        <f t="shared" si="0"/>
        <v>0.12174342214835292</v>
      </c>
      <c r="G19" s="381"/>
      <c r="H19" s="381"/>
      <c r="I19" s="381"/>
      <c r="J19" s="381"/>
      <c r="K19" s="381"/>
      <c r="L19" s="381"/>
      <c r="M19" s="381"/>
      <c r="N19" s="381"/>
      <c r="O19" s="381"/>
    </row>
    <row r="20" spans="1:15" ht="15.75" customHeight="1" x14ac:dyDescent="0.2">
      <c r="A20" s="151" t="str">
        <f>A162</f>
        <v>3.1.2. Remuneração do Capital</v>
      </c>
      <c r="B20" s="152"/>
      <c r="C20" s="146"/>
      <c r="D20" s="146"/>
      <c r="E20" s="147">
        <f>F176</f>
        <v>2807.1666680500857</v>
      </c>
      <c r="F20" s="148">
        <f t="shared" si="0"/>
        <v>7.4885308940851228E-2</v>
      </c>
      <c r="G20" s="381"/>
      <c r="H20" s="381"/>
      <c r="I20" s="381"/>
      <c r="J20" s="381"/>
      <c r="K20" s="381"/>
      <c r="L20" s="381"/>
      <c r="M20" s="381"/>
      <c r="N20" s="381"/>
      <c r="O20" s="381"/>
    </row>
    <row r="21" spans="1:15" ht="15.75" customHeight="1" x14ac:dyDescent="0.2">
      <c r="A21" s="151" t="str">
        <f>A178</f>
        <v>3.1.3. Impostos e Seguros</v>
      </c>
      <c r="B21" s="152"/>
      <c r="C21" s="146"/>
      <c r="D21" s="146"/>
      <c r="E21" s="147">
        <f>F184</f>
        <v>533.93645607126859</v>
      </c>
      <c r="F21" s="148">
        <f t="shared" si="0"/>
        <v>1.424354204642002E-2</v>
      </c>
      <c r="G21" s="381"/>
      <c r="H21" s="381"/>
      <c r="I21" s="381"/>
      <c r="J21" s="381"/>
      <c r="K21" s="381"/>
      <c r="L21" s="381"/>
      <c r="M21" s="381"/>
      <c r="N21" s="381"/>
      <c r="O21" s="381"/>
    </row>
    <row r="22" spans="1:15" ht="15.75" customHeight="1" x14ac:dyDescent="0.2">
      <c r="A22" s="151" t="str">
        <f>A186</f>
        <v>3.1.4. Consumos</v>
      </c>
      <c r="B22" s="152"/>
      <c r="C22" s="146"/>
      <c r="D22" s="146"/>
      <c r="E22" s="147">
        <f>F202</f>
        <v>7667.3954082554301</v>
      </c>
      <c r="F22" s="148">
        <f t="shared" si="0"/>
        <v>0.20453907509442812</v>
      </c>
      <c r="G22" s="381"/>
      <c r="H22" s="381"/>
      <c r="I22" s="381"/>
      <c r="J22" s="381"/>
      <c r="K22" s="381"/>
      <c r="L22" s="381"/>
      <c r="M22" s="381"/>
      <c r="N22" s="381"/>
      <c r="O22" s="381"/>
    </row>
    <row r="23" spans="1:15" ht="15.75" customHeight="1" x14ac:dyDescent="0.2">
      <c r="A23" s="151" t="str">
        <f>A204</f>
        <v>3.1.5. Manutenção</v>
      </c>
      <c r="B23" s="152"/>
      <c r="C23" s="146"/>
      <c r="D23" s="146"/>
      <c r="E23" s="147">
        <f>F207</f>
        <v>1474.672</v>
      </c>
      <c r="F23" s="148">
        <f t="shared" si="0"/>
        <v>3.9339049427774352E-2</v>
      </c>
      <c r="G23" s="381"/>
      <c r="H23" s="381"/>
      <c r="I23" s="381"/>
      <c r="J23" s="381"/>
      <c r="K23" s="381"/>
      <c r="L23" s="381"/>
      <c r="M23" s="381"/>
      <c r="N23" s="381"/>
      <c r="O23" s="381"/>
    </row>
    <row r="24" spans="1:15" ht="15.75" customHeight="1" x14ac:dyDescent="0.2">
      <c r="A24" s="151" t="str">
        <f>A209</f>
        <v>3.1.6. Pneus</v>
      </c>
      <c r="B24" s="152"/>
      <c r="C24" s="146"/>
      <c r="D24" s="146"/>
      <c r="E24" s="147">
        <f>F216</f>
        <v>588.48405549905021</v>
      </c>
      <c r="F24" s="148">
        <f t="shared" si="0"/>
        <v>1.5698679670282097E-2</v>
      </c>
      <c r="G24" s="381"/>
      <c r="H24" s="381"/>
      <c r="I24" s="381"/>
      <c r="J24" s="381"/>
      <c r="K24" s="381"/>
      <c r="L24" s="381"/>
      <c r="M24" s="381"/>
      <c r="N24" s="381"/>
      <c r="O24" s="381"/>
    </row>
    <row r="25" spans="1:15" s="107" customFormat="1" ht="15.75" customHeight="1" x14ac:dyDescent="0.2">
      <c r="A25" s="149" t="str">
        <f>A221</f>
        <v>4. Ferramentas e Materiais de Consumo</v>
      </c>
      <c r="B25" s="150"/>
      <c r="C25" s="141"/>
      <c r="D25" s="141"/>
      <c r="E25" s="142">
        <f>+F231</f>
        <v>60.039332666224347</v>
      </c>
      <c r="F25" s="143">
        <f t="shared" si="0"/>
        <v>1.6016377034128179E-3</v>
      </c>
      <c r="G25" s="382"/>
      <c r="H25" s="382"/>
      <c r="I25" s="382"/>
      <c r="J25" s="382"/>
      <c r="K25" s="382"/>
      <c r="L25" s="382"/>
      <c r="M25" s="382"/>
      <c r="N25" s="382"/>
      <c r="O25" s="382"/>
    </row>
    <row r="26" spans="1:15" s="107" customFormat="1" ht="15.75" customHeight="1" x14ac:dyDescent="0.2">
      <c r="A26" s="149" t="str">
        <f>A233</f>
        <v>5. Monitoramento da Frota</v>
      </c>
      <c r="B26" s="150"/>
      <c r="C26" s="141"/>
      <c r="D26" s="141"/>
      <c r="E26" s="142">
        <f>+F242</f>
        <v>99.633483008704189</v>
      </c>
      <c r="F26" s="143">
        <f t="shared" si="0"/>
        <v>2.6578700299054502E-3</v>
      </c>
      <c r="G26" s="382"/>
      <c r="H26" s="382"/>
      <c r="I26" s="382"/>
      <c r="J26" s="382"/>
      <c r="K26" s="382"/>
      <c r="L26" s="382"/>
      <c r="M26" s="142"/>
      <c r="N26" s="382"/>
      <c r="O26" s="382"/>
    </row>
    <row r="27" spans="1:15" s="107" customFormat="1" ht="15.75" customHeight="1" thickBot="1" x14ac:dyDescent="0.25">
      <c r="A27" s="149" t="str">
        <f>A246</f>
        <v>6. Benefícios e Despesas Indiretas - BDI</v>
      </c>
      <c r="B27" s="150"/>
      <c r="C27" s="141"/>
      <c r="D27" s="141"/>
      <c r="E27" s="153">
        <f>+F252</f>
        <v>6714.4079411271268</v>
      </c>
      <c r="F27" s="143">
        <f t="shared" si="0"/>
        <v>0.17911672960105071</v>
      </c>
      <c r="G27" s="382"/>
      <c r="H27" s="382"/>
      <c r="I27" s="382"/>
      <c r="J27" s="382"/>
      <c r="K27" s="382"/>
      <c r="L27" s="382"/>
      <c r="M27" s="382"/>
      <c r="N27" s="382"/>
      <c r="O27" s="382"/>
    </row>
    <row r="28" spans="1:15" ht="15.75" customHeight="1" thickBot="1" x14ac:dyDescent="0.25">
      <c r="A28" s="154" t="s">
        <v>231</v>
      </c>
      <c r="B28" s="155"/>
      <c r="C28" s="156"/>
      <c r="D28" s="156"/>
      <c r="E28" s="157">
        <f>E10+E16+E17+E25+E26+E27</f>
        <v>37486.213354175372</v>
      </c>
      <c r="F28" s="158">
        <f>F10+F16+F17+F25+F26+F27</f>
        <v>1</v>
      </c>
      <c r="G28" s="382"/>
      <c r="H28" s="382"/>
      <c r="I28" s="382"/>
      <c r="J28" s="382"/>
      <c r="K28" s="382"/>
      <c r="L28" s="382"/>
      <c r="M28" s="382"/>
      <c r="N28" s="381"/>
      <c r="O28" s="382"/>
    </row>
    <row r="29" spans="1:15" x14ac:dyDescent="0.2">
      <c r="G29" s="381"/>
      <c r="H29" s="381"/>
      <c r="I29" s="381"/>
      <c r="J29" s="381"/>
      <c r="K29" s="381"/>
      <c r="L29" s="381"/>
      <c r="M29" s="381"/>
      <c r="O29" s="381"/>
    </row>
    <row r="30" spans="1:15" ht="16.5" thickBot="1" x14ac:dyDescent="0.25"/>
    <row r="31" spans="1:15" ht="15" customHeight="1" x14ac:dyDescent="0.2">
      <c r="A31" s="514" t="s">
        <v>95</v>
      </c>
      <c r="B31" s="515"/>
      <c r="C31" s="515"/>
      <c r="D31" s="515"/>
      <c r="E31" s="516"/>
    </row>
    <row r="32" spans="1:15" ht="15" customHeight="1" x14ac:dyDescent="0.2">
      <c r="A32" s="517" t="s">
        <v>40</v>
      </c>
      <c r="B32" s="518"/>
      <c r="C32" s="518"/>
      <c r="D32" s="518"/>
      <c r="E32" s="302" t="s">
        <v>41</v>
      </c>
    </row>
    <row r="33" spans="1:11" ht="15" customHeight="1" x14ac:dyDescent="0.2">
      <c r="A33" s="293" t="str">
        <f>+A45</f>
        <v>1.1. Coletor Turno Noite</v>
      </c>
      <c r="B33" s="177"/>
      <c r="C33" s="177"/>
      <c r="D33" s="32"/>
      <c r="E33" s="159">
        <f>C61</f>
        <v>2</v>
      </c>
    </row>
    <row r="34" spans="1:11" ht="15" customHeight="1" x14ac:dyDescent="0.2">
      <c r="A34" s="293" t="str">
        <f>+A64</f>
        <v>1.3. Motorista Turno Noite</v>
      </c>
      <c r="B34" s="177"/>
      <c r="C34" s="177"/>
      <c r="D34" s="32"/>
      <c r="E34" s="159">
        <f>C82</f>
        <v>1</v>
      </c>
    </row>
    <row r="35" spans="1:11" ht="15" customHeight="1" x14ac:dyDescent="0.2">
      <c r="A35" s="294" t="s">
        <v>60</v>
      </c>
      <c r="B35" s="292"/>
      <c r="C35" s="292"/>
      <c r="D35" s="32"/>
      <c r="E35" s="295">
        <f>SUM(E33:E34)</f>
        <v>3</v>
      </c>
    </row>
    <row r="36" spans="1:11" ht="15" customHeight="1" x14ac:dyDescent="0.2">
      <c r="A36" s="294"/>
      <c r="B36" s="292"/>
      <c r="C36" s="177"/>
      <c r="D36" s="177"/>
      <c r="E36" s="296"/>
    </row>
    <row r="37" spans="1:11" ht="15" customHeight="1" x14ac:dyDescent="0.2">
      <c r="A37" s="521" t="s">
        <v>57</v>
      </c>
      <c r="B37" s="522"/>
      <c r="C37" s="522"/>
      <c r="D37" s="522"/>
      <c r="E37" s="302" t="s">
        <v>41</v>
      </c>
      <c r="F37" s="98"/>
    </row>
    <row r="38" spans="1:11" ht="15" customHeight="1" thickBot="1" x14ac:dyDescent="0.25">
      <c r="A38" s="297" t="str">
        <f>+A144</f>
        <v>3.1. Veículo Coletor Compactador 15 m³ (mínimo)</v>
      </c>
      <c r="B38" s="298"/>
      <c r="C38" s="298"/>
      <c r="D38" s="111"/>
      <c r="E38" s="161">
        <v>1</v>
      </c>
      <c r="F38" s="98"/>
    </row>
    <row r="39" spans="1:11" ht="15" customHeight="1" x14ac:dyDescent="0.2">
      <c r="A39" s="160"/>
      <c r="B39" s="160"/>
      <c r="C39" s="160"/>
      <c r="D39" s="98"/>
      <c r="E39" s="162"/>
      <c r="F39" s="98"/>
    </row>
    <row r="40" spans="1:11" ht="16.5" thickBot="1" x14ac:dyDescent="0.25">
      <c r="A40" s="160"/>
      <c r="B40" s="160"/>
      <c r="C40" s="160"/>
      <c r="D40" s="98"/>
      <c r="E40" s="163"/>
      <c r="F40" s="98"/>
    </row>
    <row r="41" spans="1:11" s="107" customFormat="1" ht="15.75" customHeight="1" thickBot="1" x14ac:dyDescent="0.25">
      <c r="A41" s="164" t="s">
        <v>352</v>
      </c>
      <c r="B41" s="346">
        <v>0.81810000000000005</v>
      </c>
      <c r="C41" s="128"/>
      <c r="E41" s="165"/>
      <c r="G41" s="129"/>
    </row>
    <row r="42" spans="1:11" ht="15.75" customHeight="1" x14ac:dyDescent="0.2">
      <c r="A42" s="520"/>
      <c r="B42" s="520"/>
      <c r="C42" s="520"/>
      <c r="D42" s="520"/>
      <c r="E42" s="520"/>
      <c r="F42" s="520"/>
    </row>
    <row r="43" spans="1:11" ht="13.15" customHeight="1" x14ac:dyDescent="0.2">
      <c r="A43" s="505" t="s">
        <v>48</v>
      </c>
      <c r="B43" s="505"/>
      <c r="C43" s="505"/>
      <c r="D43" s="505"/>
      <c r="E43" s="505"/>
      <c r="F43" s="505"/>
    </row>
    <row r="44" spans="1:11" ht="11.25" customHeight="1" x14ac:dyDescent="0.2">
      <c r="A44" s="467"/>
      <c r="B44" s="467"/>
      <c r="C44" s="467"/>
      <c r="D44" s="467"/>
      <c r="E44" s="467"/>
      <c r="F44" s="467"/>
    </row>
    <row r="45" spans="1:11" ht="16.5" thickBot="1" x14ac:dyDescent="0.25">
      <c r="A45" s="495" t="s">
        <v>521</v>
      </c>
      <c r="B45" s="495"/>
      <c r="C45" s="495"/>
      <c r="D45" s="495"/>
      <c r="E45" s="495"/>
      <c r="F45" s="495"/>
      <c r="K45" s="381"/>
    </row>
    <row r="46" spans="1:11" ht="16.5" thickBot="1" x14ac:dyDescent="0.25">
      <c r="A46" s="166" t="s">
        <v>65</v>
      </c>
      <c r="B46" s="167" t="s">
        <v>66</v>
      </c>
      <c r="C46" s="167" t="s">
        <v>41</v>
      </c>
      <c r="D46" s="168" t="s">
        <v>227</v>
      </c>
      <c r="E46" s="168" t="s">
        <v>67</v>
      </c>
      <c r="F46" s="169" t="s">
        <v>300</v>
      </c>
      <c r="K46" s="381"/>
    </row>
    <row r="47" spans="1:11" x14ac:dyDescent="0.2">
      <c r="A47" s="251" t="s">
        <v>206</v>
      </c>
      <c r="B47" s="37" t="s">
        <v>7</v>
      </c>
      <c r="C47" s="37">
        <v>1</v>
      </c>
      <c r="D47" s="371">
        <v>1687.48</v>
      </c>
      <c r="E47" s="171">
        <f>C47*D47</f>
        <v>1687.48</v>
      </c>
      <c r="F47" s="252"/>
      <c r="H47" s="377"/>
      <c r="I47" s="362"/>
      <c r="J47" s="363"/>
      <c r="K47" s="381"/>
    </row>
    <row r="48" spans="1:11" x14ac:dyDescent="0.2">
      <c r="A48" s="31" t="s">
        <v>6</v>
      </c>
      <c r="B48" s="25" t="s">
        <v>96</v>
      </c>
      <c r="C48" s="172">
        <v>2</v>
      </c>
      <c r="D48" s="173"/>
      <c r="E48" s="173"/>
      <c r="F48" s="252"/>
      <c r="K48" s="381"/>
    </row>
    <row r="49" spans="1:11" x14ac:dyDescent="0.2">
      <c r="A49" s="31"/>
      <c r="B49" s="25" t="s">
        <v>304</v>
      </c>
      <c r="C49" s="179">
        <f>C48*8/7</f>
        <v>2.2857142857142856</v>
      </c>
      <c r="D49" s="173">
        <f>D47/220*0.2</f>
        <v>1.5340727272727275</v>
      </c>
      <c r="E49" s="173">
        <f>C48*D49</f>
        <v>3.068145454545455</v>
      </c>
      <c r="F49" s="252"/>
      <c r="K49" s="381"/>
    </row>
    <row r="50" spans="1:11" x14ac:dyDescent="0.2">
      <c r="A50" s="31" t="s">
        <v>35</v>
      </c>
      <c r="B50" s="25" t="s">
        <v>0</v>
      </c>
      <c r="C50" s="172">
        <v>2</v>
      </c>
      <c r="D50" s="173">
        <f>D47/220*2</f>
        <v>15.340727272727273</v>
      </c>
      <c r="E50" s="173">
        <f>C50*D50</f>
        <v>30.681454545454546</v>
      </c>
      <c r="F50" s="252"/>
      <c r="K50" s="381"/>
    </row>
    <row r="51" spans="1:11" x14ac:dyDescent="0.2">
      <c r="A51" s="31" t="s">
        <v>97</v>
      </c>
      <c r="B51" s="25" t="s">
        <v>96</v>
      </c>
      <c r="C51" s="172">
        <v>2</v>
      </c>
      <c r="D51" s="173"/>
      <c r="E51" s="173"/>
      <c r="F51" s="252"/>
      <c r="K51" s="381"/>
    </row>
    <row r="52" spans="1:11" x14ac:dyDescent="0.2">
      <c r="A52" s="31"/>
      <c r="B52" s="25" t="s">
        <v>304</v>
      </c>
      <c r="C52" s="179">
        <f>C51*8/7</f>
        <v>2.2857142857142856</v>
      </c>
      <c r="D52" s="173">
        <f>D47/220*2*1.2</f>
        <v>18.408872727272726</v>
      </c>
      <c r="E52" s="173">
        <f>C52*D52</f>
        <v>42.077423376623372</v>
      </c>
      <c r="F52" s="252"/>
      <c r="K52" s="381"/>
    </row>
    <row r="53" spans="1:11" x14ac:dyDescent="0.2">
      <c r="A53" s="31" t="s">
        <v>36</v>
      </c>
      <c r="B53" s="25" t="s">
        <v>0</v>
      </c>
      <c r="C53" s="172">
        <v>2</v>
      </c>
      <c r="D53" s="173">
        <f>D47/220*1.5</f>
        <v>11.505545454545455</v>
      </c>
      <c r="E53" s="173">
        <f>C53*D53</f>
        <v>23.01109090909091</v>
      </c>
      <c r="F53" s="252"/>
      <c r="K53" s="381"/>
    </row>
    <row r="54" spans="1:11" x14ac:dyDescent="0.2">
      <c r="A54" s="31" t="s">
        <v>211</v>
      </c>
      <c r="B54" s="25" t="s">
        <v>96</v>
      </c>
      <c r="C54" s="172">
        <v>2</v>
      </c>
      <c r="D54" s="173"/>
      <c r="E54" s="173"/>
      <c r="F54" s="252"/>
      <c r="K54" s="381"/>
    </row>
    <row r="55" spans="1:11" x14ac:dyDescent="0.2">
      <c r="A55" s="31"/>
      <c r="B55" s="25" t="s">
        <v>304</v>
      </c>
      <c r="C55" s="173">
        <f>C54*8/7</f>
        <v>2.2857142857142856</v>
      </c>
      <c r="D55" s="173">
        <f>D47/220*1.5*1.2</f>
        <v>13.806654545454546</v>
      </c>
      <c r="E55" s="173">
        <f>C55*D55</f>
        <v>31.558067532467533</v>
      </c>
      <c r="F55" s="252"/>
      <c r="K55" s="381"/>
    </row>
    <row r="56" spans="1:11" ht="13.15" customHeight="1" x14ac:dyDescent="0.2">
      <c r="A56" s="31" t="s">
        <v>212</v>
      </c>
      <c r="B56" s="25" t="s">
        <v>34</v>
      </c>
      <c r="D56" s="173">
        <f>63/302*(SUM(E50:E55))</f>
        <v>26.561808910295003</v>
      </c>
      <c r="E56" s="173">
        <f>D56</f>
        <v>26.561808910295003</v>
      </c>
      <c r="F56" s="252"/>
      <c r="K56" s="381"/>
    </row>
    <row r="57" spans="1:11" x14ac:dyDescent="0.2">
      <c r="A57" s="31" t="s">
        <v>1</v>
      </c>
      <c r="B57" s="25" t="s">
        <v>2</v>
      </c>
      <c r="C57" s="25">
        <v>40</v>
      </c>
      <c r="D57" s="174">
        <f>SUM(E47:E56)</f>
        <v>1844.4379907284765</v>
      </c>
      <c r="E57" s="173">
        <f>C57*D57/100</f>
        <v>737.77519629139056</v>
      </c>
      <c r="F57" s="252"/>
      <c r="K57" s="381"/>
    </row>
    <row r="58" spans="1:11" x14ac:dyDescent="0.2">
      <c r="A58" s="523" t="s">
        <v>302</v>
      </c>
      <c r="B58" s="524"/>
      <c r="C58" s="524"/>
      <c r="D58" s="525"/>
      <c r="E58" s="175">
        <f>SUM(E47:E57)</f>
        <v>2582.2131870198673</v>
      </c>
      <c r="F58" s="252"/>
      <c r="K58" s="381"/>
    </row>
    <row r="59" spans="1:11" x14ac:dyDescent="0.2">
      <c r="A59" s="31" t="s">
        <v>3</v>
      </c>
      <c r="B59" s="25" t="s">
        <v>2</v>
      </c>
      <c r="C59" s="176">
        <f>'2.Encargos Sociais'!$C$34*100</f>
        <v>75.06</v>
      </c>
      <c r="D59" s="173">
        <f>E58</f>
        <v>2582.2131870198673</v>
      </c>
      <c r="E59" s="173">
        <f>D59*C59/100</f>
        <v>1938.2092181771122</v>
      </c>
      <c r="F59" s="252"/>
      <c r="K59" s="381"/>
    </row>
    <row r="60" spans="1:11" x14ac:dyDescent="0.2">
      <c r="A60" s="523" t="s">
        <v>303</v>
      </c>
      <c r="B60" s="524"/>
      <c r="C60" s="524"/>
      <c r="D60" s="525"/>
      <c r="E60" s="175">
        <f>E58+E59</f>
        <v>4520.4224051969795</v>
      </c>
      <c r="F60" s="252"/>
      <c r="K60" s="381"/>
    </row>
    <row r="61" spans="1:11" x14ac:dyDescent="0.2">
      <c r="A61" s="31" t="s">
        <v>4</v>
      </c>
      <c r="B61" s="25" t="s">
        <v>5</v>
      </c>
      <c r="C61" s="30">
        <v>2</v>
      </c>
      <c r="D61" s="173">
        <f>E60</f>
        <v>4520.4224051969795</v>
      </c>
      <c r="E61" s="173">
        <f>C61*D61</f>
        <v>9040.8448103939591</v>
      </c>
      <c r="F61" s="252"/>
      <c r="K61" s="381"/>
    </row>
    <row r="62" spans="1:11" ht="16.5" thickBot="1" x14ac:dyDescent="0.25">
      <c r="A62" s="499" t="s">
        <v>300</v>
      </c>
      <c r="B62" s="500"/>
      <c r="C62" s="501"/>
      <c r="D62" s="257" t="s">
        <v>301</v>
      </c>
      <c r="E62" s="349">
        <f>$B$41</f>
        <v>0.81810000000000005</v>
      </c>
      <c r="F62" s="211">
        <f>E61*E62</f>
        <v>7396.3151393832986</v>
      </c>
      <c r="K62" s="381"/>
    </row>
    <row r="63" spans="1:11" ht="11.25" customHeight="1" x14ac:dyDescent="0.2">
      <c r="A63" s="467"/>
      <c r="B63" s="467"/>
      <c r="C63" s="467"/>
      <c r="D63" s="467"/>
      <c r="E63" s="467"/>
      <c r="F63" s="467"/>
      <c r="K63" s="381"/>
    </row>
    <row r="64" spans="1:11" ht="16.5" thickBot="1" x14ac:dyDescent="0.25">
      <c r="A64" s="495" t="s">
        <v>523</v>
      </c>
      <c r="B64" s="495"/>
      <c r="C64" s="495"/>
      <c r="D64" s="495"/>
      <c r="E64" s="495"/>
      <c r="F64" s="495"/>
      <c r="K64" s="381"/>
    </row>
    <row r="65" spans="1:11" ht="16.5" thickBot="1" x14ac:dyDescent="0.25">
      <c r="A65" s="166" t="s">
        <v>65</v>
      </c>
      <c r="B65" s="167" t="s">
        <v>66</v>
      </c>
      <c r="C65" s="167" t="s">
        <v>41</v>
      </c>
      <c r="D65" s="168" t="s">
        <v>227</v>
      </c>
      <c r="E65" s="168" t="s">
        <v>67</v>
      </c>
      <c r="F65" s="169" t="s">
        <v>300</v>
      </c>
      <c r="K65" s="381"/>
    </row>
    <row r="66" spans="1:11" x14ac:dyDescent="0.2">
      <c r="A66" s="251" t="s">
        <v>206</v>
      </c>
      <c r="B66" s="37" t="s">
        <v>7</v>
      </c>
      <c r="C66" s="37">
        <v>1</v>
      </c>
      <c r="D66" s="171">
        <v>2030.35</v>
      </c>
      <c r="E66" s="171">
        <f>C66*D66</f>
        <v>2030.35</v>
      </c>
      <c r="F66" s="259"/>
      <c r="H66" s="377"/>
      <c r="I66" s="362"/>
      <c r="J66" s="363"/>
      <c r="K66" s="381"/>
    </row>
    <row r="67" spans="1:11" x14ac:dyDescent="0.2">
      <c r="A67" s="251" t="s">
        <v>207</v>
      </c>
      <c r="B67" s="37" t="s">
        <v>7</v>
      </c>
      <c r="C67" s="37">
        <v>1</v>
      </c>
      <c r="D67" s="173">
        <v>1320</v>
      </c>
      <c r="E67" s="173"/>
      <c r="F67" s="260"/>
      <c r="H67" s="377"/>
      <c r="I67" s="362"/>
      <c r="J67" s="363"/>
      <c r="K67" s="381"/>
    </row>
    <row r="68" spans="1:11" x14ac:dyDescent="0.2">
      <c r="A68" s="31" t="s">
        <v>6</v>
      </c>
      <c r="B68" s="25" t="s">
        <v>96</v>
      </c>
      <c r="C68" s="172">
        <v>2</v>
      </c>
      <c r="D68" s="32"/>
      <c r="E68" s="32"/>
      <c r="F68" s="260"/>
      <c r="H68" s="377"/>
      <c r="K68" s="381"/>
    </row>
    <row r="69" spans="1:11" x14ac:dyDescent="0.2">
      <c r="A69" s="31"/>
      <c r="B69" s="25" t="s">
        <v>100</v>
      </c>
      <c r="C69" s="173">
        <f>C68*8/7</f>
        <v>2.2857142857142856</v>
      </c>
      <c r="D69" s="173">
        <f>D66/220*0.2</f>
        <v>1.8457727272727273</v>
      </c>
      <c r="E69" s="173">
        <f>C68*D69</f>
        <v>3.6915454545454547</v>
      </c>
      <c r="F69" s="260"/>
      <c r="K69" s="381"/>
    </row>
    <row r="70" spans="1:11" x14ac:dyDescent="0.2">
      <c r="A70" s="31" t="s">
        <v>35</v>
      </c>
      <c r="B70" s="25" t="s">
        <v>0</v>
      </c>
      <c r="C70" s="172">
        <v>2</v>
      </c>
      <c r="D70" s="173">
        <f>D66/220*2</f>
        <v>18.457727272727272</v>
      </c>
      <c r="E70" s="173">
        <f>C70*D70</f>
        <v>36.915454545454544</v>
      </c>
      <c r="F70" s="260"/>
      <c r="K70" s="381"/>
    </row>
    <row r="71" spans="1:11" x14ac:dyDescent="0.2">
      <c r="A71" s="31" t="s">
        <v>97</v>
      </c>
      <c r="B71" s="25" t="s">
        <v>96</v>
      </c>
      <c r="C71" s="172">
        <v>2</v>
      </c>
      <c r="D71" s="173"/>
      <c r="E71" s="173"/>
      <c r="F71" s="260"/>
      <c r="K71" s="381"/>
    </row>
    <row r="72" spans="1:11" x14ac:dyDescent="0.2">
      <c r="A72" s="31"/>
      <c r="B72" s="25" t="s">
        <v>100</v>
      </c>
      <c r="C72" s="173">
        <f>C71*8/7</f>
        <v>2.2857142857142856</v>
      </c>
      <c r="D72" s="173">
        <f>D66/220*2*1.2</f>
        <v>22.149272727272727</v>
      </c>
      <c r="E72" s="173">
        <f>C72*D72</f>
        <v>50.626909090909088</v>
      </c>
      <c r="F72" s="260"/>
      <c r="K72" s="381"/>
    </row>
    <row r="73" spans="1:11" x14ac:dyDescent="0.2">
      <c r="A73" s="31" t="s">
        <v>36</v>
      </c>
      <c r="B73" s="25" t="s">
        <v>0</v>
      </c>
      <c r="C73" s="172">
        <v>2</v>
      </c>
      <c r="D73" s="173">
        <f>D66/220*1.5</f>
        <v>13.843295454545455</v>
      </c>
      <c r="E73" s="173">
        <f>C73*D73</f>
        <v>27.68659090909091</v>
      </c>
      <c r="F73" s="260"/>
      <c r="K73" s="381"/>
    </row>
    <row r="74" spans="1:11" x14ac:dyDescent="0.2">
      <c r="A74" s="31" t="s">
        <v>211</v>
      </c>
      <c r="B74" s="25" t="s">
        <v>96</v>
      </c>
      <c r="C74" s="172">
        <v>2</v>
      </c>
      <c r="D74" s="173"/>
      <c r="E74" s="173"/>
      <c r="F74" s="260"/>
      <c r="K74" s="381"/>
    </row>
    <row r="75" spans="1:11" x14ac:dyDescent="0.2">
      <c r="A75" s="31"/>
      <c r="B75" s="25" t="s">
        <v>100</v>
      </c>
      <c r="C75" s="173">
        <f>C74*8/7</f>
        <v>2.2857142857142856</v>
      </c>
      <c r="D75" s="173">
        <f>D66/220*1.5*1.2</f>
        <v>16.611954545454545</v>
      </c>
      <c r="E75" s="173">
        <f>C75*D75</f>
        <v>37.970181818181814</v>
      </c>
      <c r="F75" s="260"/>
      <c r="K75" s="381"/>
    </row>
    <row r="76" spans="1:11" ht="13.15" customHeight="1" x14ac:dyDescent="0.2">
      <c r="A76" s="31" t="s">
        <v>212</v>
      </c>
      <c r="B76" s="25" t="s">
        <v>34</v>
      </c>
      <c r="D76" s="173">
        <f>63/302*(SUM(E70:E75))</f>
        <v>31.958760234798312</v>
      </c>
      <c r="E76" s="173">
        <f>D76</f>
        <v>31.958760234798312</v>
      </c>
      <c r="F76" s="260"/>
      <c r="K76" s="381"/>
    </row>
    <row r="77" spans="1:11" x14ac:dyDescent="0.2">
      <c r="A77" s="31" t="s">
        <v>208</v>
      </c>
      <c r="B77" s="25"/>
      <c r="C77" s="180">
        <v>1</v>
      </c>
      <c r="D77" s="173"/>
      <c r="E77" s="173"/>
      <c r="F77" s="260"/>
      <c r="K77" s="381"/>
    </row>
    <row r="78" spans="1:11" x14ac:dyDescent="0.2">
      <c r="A78" s="31" t="s">
        <v>1</v>
      </c>
      <c r="B78" s="25" t="s">
        <v>2</v>
      </c>
      <c r="C78" s="174">
        <v>20</v>
      </c>
      <c r="D78" s="174">
        <f>IF(C77=2,SUM(E66:E76),IF(C77=1,SUM(E66:E76)*D67/D66,0))</f>
        <v>1442.7774834437084</v>
      </c>
      <c r="E78" s="173">
        <f>C78*D78/100</f>
        <v>288.5554966887417</v>
      </c>
      <c r="F78" s="260"/>
      <c r="K78" s="381"/>
    </row>
    <row r="79" spans="1:11" s="107" customFormat="1" x14ac:dyDescent="0.2">
      <c r="A79" s="523" t="s">
        <v>302</v>
      </c>
      <c r="B79" s="524"/>
      <c r="C79" s="524"/>
      <c r="D79" s="525"/>
      <c r="E79" s="175">
        <f>SUM(E66:E78)</f>
        <v>2507.7549387417216</v>
      </c>
      <c r="F79" s="261"/>
      <c r="G79" s="129"/>
      <c r="K79" s="382"/>
    </row>
    <row r="80" spans="1:11" x14ac:dyDescent="0.2">
      <c r="A80" s="31" t="s">
        <v>3</v>
      </c>
      <c r="B80" s="25" t="s">
        <v>2</v>
      </c>
      <c r="C80" s="176">
        <f>'2.Encargos Sociais'!$C$34*100</f>
        <v>75.06</v>
      </c>
      <c r="D80" s="173">
        <f>E79</f>
        <v>2507.7549387417216</v>
      </c>
      <c r="E80" s="173">
        <f>D80*C80/100</f>
        <v>1882.3208570195361</v>
      </c>
      <c r="F80" s="260"/>
      <c r="K80" s="381"/>
    </row>
    <row r="81" spans="1:11" s="107" customFormat="1" x14ac:dyDescent="0.2">
      <c r="A81" s="523" t="s">
        <v>305</v>
      </c>
      <c r="B81" s="524"/>
      <c r="C81" s="524"/>
      <c r="D81" s="525"/>
      <c r="E81" s="175">
        <f>E79+E80</f>
        <v>4390.0757957612577</v>
      </c>
      <c r="F81" s="261"/>
      <c r="G81" s="129"/>
      <c r="K81" s="382"/>
    </row>
    <row r="82" spans="1:11" x14ac:dyDescent="0.2">
      <c r="A82" s="31" t="s">
        <v>4</v>
      </c>
      <c r="B82" s="25" t="s">
        <v>5</v>
      </c>
      <c r="C82" s="30">
        <v>1</v>
      </c>
      <c r="D82" s="173">
        <f>E81</f>
        <v>4390.0757957612577</v>
      </c>
      <c r="E82" s="173">
        <f>C82*D82</f>
        <v>4390.0757957612577</v>
      </c>
      <c r="F82" s="260"/>
      <c r="K82" s="381"/>
    </row>
    <row r="83" spans="1:11" ht="16.5" thickBot="1" x14ac:dyDescent="0.25">
      <c r="A83" s="499" t="s">
        <v>300</v>
      </c>
      <c r="B83" s="500"/>
      <c r="C83" s="501"/>
      <c r="D83" s="257" t="s">
        <v>301</v>
      </c>
      <c r="E83" s="349">
        <f>$B$41</f>
        <v>0.81810000000000005</v>
      </c>
      <c r="F83" s="211">
        <f>E82*E83</f>
        <v>3591.5210085122853</v>
      </c>
      <c r="K83" s="381"/>
    </row>
    <row r="84" spans="1:11" ht="11.25" customHeight="1" x14ac:dyDescent="0.2">
      <c r="A84" s="467"/>
      <c r="B84" s="467"/>
      <c r="C84" s="467"/>
      <c r="D84" s="467"/>
      <c r="E84" s="467"/>
      <c r="F84" s="467"/>
      <c r="G84" s="98"/>
      <c r="K84" s="381"/>
    </row>
    <row r="85" spans="1:11" ht="16.5" thickBot="1" x14ac:dyDescent="0.25">
      <c r="A85" s="495" t="s">
        <v>417</v>
      </c>
      <c r="B85" s="495"/>
      <c r="C85" s="495"/>
      <c r="D85" s="495"/>
      <c r="E85" s="495"/>
      <c r="F85" s="495"/>
      <c r="G85" s="98"/>
      <c r="K85" s="381"/>
    </row>
    <row r="86" spans="1:11" ht="16.5" thickBot="1" x14ac:dyDescent="0.25">
      <c r="A86" s="166" t="s">
        <v>65</v>
      </c>
      <c r="B86" s="167" t="s">
        <v>66</v>
      </c>
      <c r="C86" s="167" t="s">
        <v>41</v>
      </c>
      <c r="D86" s="168" t="s">
        <v>227</v>
      </c>
      <c r="E86" s="168" t="s">
        <v>67</v>
      </c>
      <c r="F86" s="169" t="s">
        <v>300</v>
      </c>
      <c r="G86" s="98"/>
      <c r="K86" s="381"/>
    </row>
    <row r="87" spans="1:11" x14ac:dyDescent="0.2">
      <c r="A87" s="31" t="s">
        <v>91</v>
      </c>
      <c r="B87" s="25" t="s">
        <v>34</v>
      </c>
      <c r="C87" s="182">
        <v>1</v>
      </c>
      <c r="D87" s="372">
        <v>4.7804021471743408</v>
      </c>
      <c r="E87" s="214"/>
      <c r="F87" s="259"/>
      <c r="H87" s="377"/>
      <c r="I87" s="362"/>
      <c r="J87" s="363"/>
      <c r="K87" s="381"/>
    </row>
    <row r="88" spans="1:11" x14ac:dyDescent="0.2">
      <c r="A88" s="31" t="s">
        <v>92</v>
      </c>
      <c r="B88" s="25" t="s">
        <v>93</v>
      </c>
      <c r="C88" s="263">
        <v>24</v>
      </c>
      <c r="D88" s="173"/>
      <c r="E88" s="214"/>
      <c r="F88" s="260"/>
      <c r="G88" s="98"/>
      <c r="K88" s="381"/>
    </row>
    <row r="89" spans="1:11" x14ac:dyDescent="0.2">
      <c r="A89" s="31" t="s">
        <v>74</v>
      </c>
      <c r="B89" s="25" t="s">
        <v>8</v>
      </c>
      <c r="C89" s="183">
        <f>$C$88*2*(C61)</f>
        <v>96</v>
      </c>
      <c r="D89" s="171">
        <f>IFERROR((($C$88*2*$D$87)-(E47*0.06))/($C$88*2),"-")</f>
        <v>2.6710521471743411</v>
      </c>
      <c r="E89" s="214">
        <f>IFERROR(C89*D89,"-")</f>
        <v>256.42100612873674</v>
      </c>
      <c r="F89" s="260"/>
      <c r="G89" s="98"/>
      <c r="K89" s="381"/>
    </row>
    <row r="90" spans="1:11" x14ac:dyDescent="0.2">
      <c r="A90" s="251" t="s">
        <v>45</v>
      </c>
      <c r="B90" s="37" t="s">
        <v>8</v>
      </c>
      <c r="C90" s="183">
        <f>$C$88*2*(C82)</f>
        <v>48</v>
      </c>
      <c r="D90" s="171">
        <f>IFERROR((($C$88*2*$D$87)-(E66*0.06))/($C$88*2),"-")</f>
        <v>2.2424646471743412</v>
      </c>
      <c r="E90" s="215">
        <f>IFERROR(C90*D90,"-")</f>
        <v>107.63830306436839</v>
      </c>
      <c r="F90" s="260"/>
      <c r="G90" s="98"/>
      <c r="K90" s="381"/>
    </row>
    <row r="91" spans="1:11" ht="16.5" thickBot="1" x14ac:dyDescent="0.25">
      <c r="A91" s="499" t="s">
        <v>300</v>
      </c>
      <c r="B91" s="500"/>
      <c r="C91" s="500"/>
      <c r="D91" s="500"/>
      <c r="E91" s="501"/>
      <c r="F91" s="264">
        <f>SUM(E89:E90)</f>
        <v>364.05930919310515</v>
      </c>
      <c r="G91" s="98"/>
      <c r="K91" s="381"/>
    </row>
    <row r="92" spans="1:11" ht="11.25" customHeight="1" x14ac:dyDescent="0.2">
      <c r="A92" s="467"/>
      <c r="B92" s="467"/>
      <c r="C92" s="467"/>
      <c r="D92" s="467"/>
      <c r="E92" s="467"/>
      <c r="F92" s="467"/>
      <c r="G92" s="98"/>
      <c r="K92" s="381"/>
    </row>
    <row r="93" spans="1:11" ht="16.5" thickBot="1" x14ac:dyDescent="0.25">
      <c r="A93" s="495" t="s">
        <v>418</v>
      </c>
      <c r="B93" s="495"/>
      <c r="C93" s="495"/>
      <c r="D93" s="495"/>
      <c r="E93" s="495"/>
      <c r="F93" s="495"/>
      <c r="G93" s="98"/>
      <c r="K93" s="381"/>
    </row>
    <row r="94" spans="1:11" ht="16.5" thickBot="1" x14ac:dyDescent="0.25">
      <c r="A94" s="166" t="s">
        <v>65</v>
      </c>
      <c r="B94" s="167" t="s">
        <v>66</v>
      </c>
      <c r="C94" s="167" t="s">
        <v>41</v>
      </c>
      <c r="D94" s="168" t="s">
        <v>227</v>
      </c>
      <c r="E94" s="168" t="s">
        <v>67</v>
      </c>
      <c r="F94" s="169" t="s">
        <v>300</v>
      </c>
      <c r="G94" s="98"/>
      <c r="K94" s="381"/>
    </row>
    <row r="95" spans="1:11" x14ac:dyDescent="0.2">
      <c r="A95" s="31" t="str">
        <f>+A89</f>
        <v>Coletor</v>
      </c>
      <c r="B95" s="25" t="s">
        <v>9</v>
      </c>
      <c r="C95" s="184">
        <f>C88*(E33)</f>
        <v>48</v>
      </c>
      <c r="D95" s="185">
        <v>18.2</v>
      </c>
      <c r="E95" s="216">
        <f>C95*D95</f>
        <v>873.59999999999991</v>
      </c>
      <c r="F95" s="265"/>
      <c r="H95" s="377"/>
      <c r="I95" s="362"/>
      <c r="J95" s="363"/>
      <c r="K95" s="381"/>
    </row>
    <row r="96" spans="1:11" x14ac:dyDescent="0.2">
      <c r="A96" s="31" t="str">
        <f>+A90</f>
        <v>Motorista</v>
      </c>
      <c r="B96" s="254" t="s">
        <v>9</v>
      </c>
      <c r="C96" s="351">
        <f>C88*(E34)</f>
        <v>24</v>
      </c>
      <c r="D96" s="457">
        <v>12.76</v>
      </c>
      <c r="E96" s="352">
        <f>C96*D96</f>
        <v>306.24</v>
      </c>
      <c r="F96" s="261"/>
      <c r="H96" s="377"/>
      <c r="I96" s="362"/>
      <c r="J96" s="363"/>
      <c r="K96" s="381"/>
    </row>
    <row r="97" spans="1:11" x14ac:dyDescent="0.2">
      <c r="A97" s="31" t="s">
        <v>4</v>
      </c>
      <c r="B97" s="355"/>
      <c r="C97" s="355"/>
      <c r="D97" s="355"/>
      <c r="E97" s="356">
        <f>SUM(E95:E96)</f>
        <v>1179.8399999999999</v>
      </c>
      <c r="F97" s="357"/>
      <c r="G97" s="98"/>
      <c r="K97" s="381"/>
    </row>
    <row r="98" spans="1:11" ht="16.5" thickBot="1" x14ac:dyDescent="0.25">
      <c r="A98" s="499" t="s">
        <v>300</v>
      </c>
      <c r="B98" s="503"/>
      <c r="C98" s="504"/>
      <c r="D98" s="353" t="s">
        <v>301</v>
      </c>
      <c r="E98" s="354">
        <f>$B$41</f>
        <v>0.81810000000000005</v>
      </c>
      <c r="F98" s="211">
        <f>E97*E98</f>
        <v>965.22710399999994</v>
      </c>
      <c r="G98" s="98"/>
      <c r="K98" s="381"/>
    </row>
    <row r="99" spans="1:11" x14ac:dyDescent="0.2">
      <c r="A99" s="467"/>
      <c r="B99" s="467"/>
      <c r="C99" s="467"/>
      <c r="D99" s="467"/>
      <c r="E99" s="467"/>
      <c r="F99" s="467"/>
      <c r="G99" s="98"/>
      <c r="K99" s="381"/>
    </row>
    <row r="100" spans="1:11" ht="16.5" thickBot="1" x14ac:dyDescent="0.25">
      <c r="A100" s="495" t="s">
        <v>419</v>
      </c>
      <c r="B100" s="495"/>
      <c r="C100" s="495"/>
      <c r="D100" s="495"/>
      <c r="E100" s="495"/>
      <c r="F100" s="495"/>
      <c r="G100" s="98"/>
      <c r="K100" s="381"/>
    </row>
    <row r="101" spans="1:11" ht="16.5" thickBot="1" x14ac:dyDescent="0.25">
      <c r="A101" s="166" t="s">
        <v>65</v>
      </c>
      <c r="B101" s="167" t="s">
        <v>66</v>
      </c>
      <c r="C101" s="167" t="s">
        <v>41</v>
      </c>
      <c r="D101" s="168" t="s">
        <v>227</v>
      </c>
      <c r="E101" s="168" t="s">
        <v>67</v>
      </c>
      <c r="F101" s="169" t="s">
        <v>300</v>
      </c>
      <c r="G101" s="98"/>
      <c r="K101" s="381"/>
    </row>
    <row r="102" spans="1:11" x14ac:dyDescent="0.2">
      <c r="A102" s="31" t="str">
        <f>+A95</f>
        <v>Coletor</v>
      </c>
      <c r="B102" s="25" t="s">
        <v>9</v>
      </c>
      <c r="C102" s="184">
        <f>E33</f>
        <v>2</v>
      </c>
      <c r="D102" s="185">
        <v>0</v>
      </c>
      <c r="E102" s="216">
        <f>C102*D102</f>
        <v>0</v>
      </c>
      <c r="F102" s="265"/>
      <c r="G102" s="98"/>
      <c r="K102" s="381"/>
    </row>
    <row r="103" spans="1:11" x14ac:dyDescent="0.2">
      <c r="A103" s="31" t="str">
        <f>+A96</f>
        <v>Motorista</v>
      </c>
      <c r="B103" s="25" t="s">
        <v>9</v>
      </c>
      <c r="C103" s="184">
        <f>E34</f>
        <v>1</v>
      </c>
      <c r="D103" s="367">
        <v>113.11797309399398</v>
      </c>
      <c r="E103" s="216">
        <f>C103*D103</f>
        <v>113.11797309399398</v>
      </c>
      <c r="F103" s="261"/>
      <c r="H103" s="377"/>
      <c r="I103" s="362"/>
      <c r="J103" s="363"/>
      <c r="K103" s="381"/>
    </row>
    <row r="104" spans="1:11" ht="16.5" thickBot="1" x14ac:dyDescent="0.25">
      <c r="A104" s="502" t="s">
        <v>300</v>
      </c>
      <c r="B104" s="503"/>
      <c r="C104" s="504"/>
      <c r="D104" s="373">
        <v>11.82401166492</v>
      </c>
      <c r="E104" s="350">
        <f>$B$41</f>
        <v>0.81810000000000005</v>
      </c>
      <c r="F104" s="264">
        <f>SUM(E102:E103)*E104</f>
        <v>92.541813788196478</v>
      </c>
      <c r="G104" s="98"/>
      <c r="K104" s="381"/>
    </row>
    <row r="105" spans="1:11" ht="16.5" thickBot="1" x14ac:dyDescent="0.25">
      <c r="G105" s="98"/>
      <c r="K105" s="381"/>
    </row>
    <row r="106" spans="1:11" ht="16.5" thickBot="1" x14ac:dyDescent="0.25">
      <c r="A106" s="217" t="s">
        <v>306</v>
      </c>
      <c r="B106" s="218"/>
      <c r="C106" s="218"/>
      <c r="D106" s="156"/>
      <c r="E106" s="156"/>
      <c r="F106" s="219">
        <f>F104+F98+F91+F83+F62</f>
        <v>12409.664374876886</v>
      </c>
      <c r="G106" s="98"/>
      <c r="K106" s="381"/>
    </row>
    <row r="107" spans="1:11" x14ac:dyDescent="0.2">
      <c r="A107" s="527"/>
      <c r="B107" s="527"/>
      <c r="C107" s="527"/>
      <c r="D107" s="527"/>
      <c r="E107" s="527"/>
      <c r="F107" s="527"/>
      <c r="K107" s="381"/>
    </row>
    <row r="108" spans="1:11" x14ac:dyDescent="0.2">
      <c r="A108" s="505" t="s">
        <v>46</v>
      </c>
      <c r="B108" s="505"/>
      <c r="C108" s="505"/>
      <c r="D108" s="505"/>
      <c r="E108" s="505"/>
      <c r="F108" s="505"/>
      <c r="G108" s="98"/>
      <c r="K108" s="381"/>
    </row>
    <row r="109" spans="1:11" ht="11.25" customHeight="1" x14ac:dyDescent="0.2">
      <c r="A109" s="467"/>
      <c r="B109" s="467"/>
      <c r="C109" s="467"/>
      <c r="D109" s="467"/>
      <c r="E109" s="467"/>
      <c r="F109" s="467"/>
      <c r="G109" s="98"/>
      <c r="K109" s="381"/>
    </row>
    <row r="110" spans="1:11" ht="13.9" customHeight="1" x14ac:dyDescent="0.2">
      <c r="A110" s="526" t="s">
        <v>307</v>
      </c>
      <c r="B110" s="526"/>
      <c r="C110" s="526"/>
      <c r="D110" s="526"/>
      <c r="E110" s="526"/>
      <c r="F110" s="526"/>
      <c r="G110" s="98"/>
      <c r="K110" s="381"/>
    </row>
    <row r="111" spans="1:11" ht="11.25" customHeight="1" thickBot="1" x14ac:dyDescent="0.25">
      <c r="A111" s="468"/>
      <c r="B111" s="468"/>
      <c r="C111" s="468"/>
      <c r="D111" s="468"/>
      <c r="E111" s="468"/>
      <c r="F111" s="468"/>
      <c r="G111" s="98"/>
      <c r="K111" s="381"/>
    </row>
    <row r="112" spans="1:11" ht="27.75" customHeight="1" thickBot="1" x14ac:dyDescent="0.25">
      <c r="A112" s="166" t="s">
        <v>65</v>
      </c>
      <c r="B112" s="167" t="s">
        <v>66</v>
      </c>
      <c r="C112" s="190" t="s">
        <v>239</v>
      </c>
      <c r="D112" s="168" t="s">
        <v>227</v>
      </c>
      <c r="E112" s="168" t="s">
        <v>67</v>
      </c>
      <c r="F112" s="169" t="s">
        <v>300</v>
      </c>
      <c r="G112" s="98"/>
      <c r="K112" s="381"/>
    </row>
    <row r="113" spans="1:11" x14ac:dyDescent="0.2">
      <c r="A113" s="251" t="s">
        <v>68</v>
      </c>
      <c r="B113" s="37" t="s">
        <v>9</v>
      </c>
      <c r="C113" s="269">
        <v>4</v>
      </c>
      <c r="D113" s="370">
        <v>98.4</v>
      </c>
      <c r="E113" s="171">
        <f>IFERROR(D113/C113,0)</f>
        <v>24.6</v>
      </c>
      <c r="F113" s="260"/>
      <c r="H113" s="377"/>
      <c r="I113" s="362"/>
      <c r="J113" s="363"/>
      <c r="K113" s="381"/>
    </row>
    <row r="114" spans="1:11" ht="13.15" customHeight="1" x14ac:dyDescent="0.2">
      <c r="A114" s="31" t="s">
        <v>29</v>
      </c>
      <c r="B114" s="25" t="s">
        <v>9</v>
      </c>
      <c r="C114" s="191">
        <v>2</v>
      </c>
      <c r="D114" s="370">
        <v>50.42</v>
      </c>
      <c r="E114" s="171">
        <f t="shared" ref="E114:E122" si="1">IFERROR(D114/C114,0)</f>
        <v>25.21</v>
      </c>
      <c r="F114" s="260"/>
      <c r="H114" s="377"/>
      <c r="I114" s="362"/>
      <c r="J114" s="363"/>
      <c r="K114" s="381"/>
    </row>
    <row r="115" spans="1:11" x14ac:dyDescent="0.2">
      <c r="A115" s="31" t="s">
        <v>30</v>
      </c>
      <c r="B115" s="25" t="s">
        <v>9</v>
      </c>
      <c r="C115" s="191">
        <v>2</v>
      </c>
      <c r="D115" s="370">
        <v>22.4</v>
      </c>
      <c r="E115" s="171">
        <f t="shared" si="1"/>
        <v>11.2</v>
      </c>
      <c r="F115" s="260"/>
      <c r="H115" s="377"/>
      <c r="I115" s="362"/>
      <c r="J115" s="363"/>
      <c r="K115" s="381"/>
    </row>
    <row r="116" spans="1:11" ht="13.15" customHeight="1" x14ac:dyDescent="0.2">
      <c r="A116" s="31" t="s">
        <v>31</v>
      </c>
      <c r="B116" s="25" t="s">
        <v>9</v>
      </c>
      <c r="C116" s="191">
        <v>2</v>
      </c>
      <c r="D116" s="370">
        <v>17</v>
      </c>
      <c r="E116" s="171">
        <f t="shared" si="1"/>
        <v>8.5</v>
      </c>
      <c r="F116" s="260"/>
      <c r="H116" s="377"/>
      <c r="I116" s="362"/>
      <c r="J116" s="363"/>
      <c r="K116" s="381"/>
    </row>
    <row r="117" spans="1:11" ht="13.9" customHeight="1" x14ac:dyDescent="0.2">
      <c r="A117" s="31" t="s">
        <v>70</v>
      </c>
      <c r="B117" s="25" t="s">
        <v>49</v>
      </c>
      <c r="C117" s="191">
        <v>2</v>
      </c>
      <c r="D117" s="370">
        <v>65.290000000000006</v>
      </c>
      <c r="E117" s="171">
        <f t="shared" si="1"/>
        <v>32.645000000000003</v>
      </c>
      <c r="F117" s="260"/>
      <c r="H117" s="377"/>
      <c r="I117" s="362"/>
      <c r="J117" s="363"/>
      <c r="K117" s="381"/>
    </row>
    <row r="118" spans="1:11" ht="13.15" customHeight="1" x14ac:dyDescent="0.2">
      <c r="A118" s="31" t="s">
        <v>94</v>
      </c>
      <c r="B118" s="25" t="s">
        <v>49</v>
      </c>
      <c r="C118" s="191">
        <v>2</v>
      </c>
      <c r="D118" s="370">
        <v>8.75</v>
      </c>
      <c r="E118" s="171">
        <f t="shared" si="1"/>
        <v>4.375</v>
      </c>
      <c r="F118" s="260"/>
      <c r="H118" s="377"/>
      <c r="I118" s="362"/>
      <c r="J118" s="363"/>
      <c r="K118" s="381"/>
    </row>
    <row r="119" spans="1:11" x14ac:dyDescent="0.2">
      <c r="A119" s="31" t="s">
        <v>69</v>
      </c>
      <c r="B119" s="25" t="s">
        <v>9</v>
      </c>
      <c r="C119" s="191">
        <v>2</v>
      </c>
      <c r="D119" s="370">
        <v>20.66</v>
      </c>
      <c r="E119" s="171">
        <f t="shared" si="1"/>
        <v>10.33</v>
      </c>
      <c r="F119" s="260"/>
      <c r="H119" s="377"/>
      <c r="I119" s="362"/>
      <c r="J119" s="363"/>
      <c r="K119" s="381"/>
    </row>
    <row r="120" spans="1:11" s="20" customFormat="1" x14ac:dyDescent="0.25">
      <c r="A120" s="267" t="s">
        <v>10</v>
      </c>
      <c r="B120" s="27" t="s">
        <v>9</v>
      </c>
      <c r="C120" s="191">
        <v>6</v>
      </c>
      <c r="D120" s="370">
        <v>38.590000000000003</v>
      </c>
      <c r="E120" s="171">
        <f t="shared" si="1"/>
        <v>6.4316666666666675</v>
      </c>
      <c r="F120" s="270"/>
      <c r="G120" s="130"/>
      <c r="H120" s="377"/>
      <c r="I120" s="362"/>
      <c r="J120" s="363"/>
      <c r="K120" s="384"/>
    </row>
    <row r="121" spans="1:11" x14ac:dyDescent="0.2">
      <c r="A121" s="31" t="s">
        <v>32</v>
      </c>
      <c r="B121" s="25" t="s">
        <v>49</v>
      </c>
      <c r="C121" s="191">
        <v>1</v>
      </c>
      <c r="D121" s="370">
        <v>19.170000000000002</v>
      </c>
      <c r="E121" s="171">
        <f t="shared" si="1"/>
        <v>19.170000000000002</v>
      </c>
      <c r="F121" s="260"/>
      <c r="H121" s="377"/>
      <c r="I121" s="362"/>
      <c r="J121" s="363"/>
      <c r="K121" s="381"/>
    </row>
    <row r="122" spans="1:11" ht="13.15" customHeight="1" x14ac:dyDescent="0.2">
      <c r="A122" s="31" t="s">
        <v>64</v>
      </c>
      <c r="B122" s="25" t="s">
        <v>50</v>
      </c>
      <c r="C122" s="191">
        <v>1</v>
      </c>
      <c r="D122" s="370">
        <v>24.44</v>
      </c>
      <c r="E122" s="171">
        <f t="shared" si="1"/>
        <v>24.44</v>
      </c>
      <c r="F122" s="260"/>
      <c r="H122" s="377"/>
      <c r="I122" s="362"/>
      <c r="J122" s="363"/>
      <c r="K122" s="381"/>
    </row>
    <row r="123" spans="1:11" x14ac:dyDescent="0.2">
      <c r="A123" s="31" t="s">
        <v>193</v>
      </c>
      <c r="B123" s="25" t="s">
        <v>120</v>
      </c>
      <c r="C123" s="192">
        <v>1</v>
      </c>
      <c r="D123" s="370">
        <v>82.46</v>
      </c>
      <c r="E123" s="173">
        <f t="shared" ref="E123:E124" si="2">C123*D123</f>
        <v>82.46</v>
      </c>
      <c r="F123" s="260"/>
      <c r="H123" s="377"/>
      <c r="I123" s="362"/>
      <c r="J123" s="363"/>
      <c r="K123" s="381"/>
    </row>
    <row r="124" spans="1:11" x14ac:dyDescent="0.2">
      <c r="A124" s="31" t="s">
        <v>4</v>
      </c>
      <c r="B124" s="25" t="s">
        <v>5</v>
      </c>
      <c r="C124" s="192">
        <f>E33</f>
        <v>2</v>
      </c>
      <c r="D124" s="173">
        <f>+SUM(E113:E123)</f>
        <v>249.36166666666668</v>
      </c>
      <c r="E124" s="173">
        <f t="shared" si="2"/>
        <v>498.72333333333336</v>
      </c>
      <c r="F124" s="260"/>
      <c r="K124" s="381"/>
    </row>
    <row r="125" spans="1:11" ht="16.5" thickBot="1" x14ac:dyDescent="0.25">
      <c r="A125" s="496" t="s">
        <v>337</v>
      </c>
      <c r="B125" s="497"/>
      <c r="C125" s="498"/>
      <c r="D125" s="257" t="s">
        <v>301</v>
      </c>
      <c r="E125" s="349">
        <f>$B$41</f>
        <v>0.81810000000000005</v>
      </c>
      <c r="F125" s="211">
        <f>E124*E125</f>
        <v>408.00555900000006</v>
      </c>
      <c r="K125" s="381"/>
    </row>
    <row r="126" spans="1:11" ht="11.25" customHeight="1" x14ac:dyDescent="0.2">
      <c r="A126" s="467"/>
      <c r="B126" s="467"/>
      <c r="C126" s="467"/>
      <c r="D126" s="467"/>
      <c r="E126" s="467"/>
      <c r="F126" s="467"/>
      <c r="K126" s="381"/>
    </row>
    <row r="127" spans="1:11" ht="13.9" customHeight="1" x14ac:dyDescent="0.2">
      <c r="A127" s="526" t="s">
        <v>308</v>
      </c>
      <c r="B127" s="526"/>
      <c r="C127" s="526"/>
      <c r="D127" s="526"/>
      <c r="E127" s="526"/>
      <c r="F127" s="526"/>
      <c r="K127" s="381"/>
    </row>
    <row r="128" spans="1:11" ht="11.25" customHeight="1" thickBot="1" x14ac:dyDescent="0.25">
      <c r="A128" s="468"/>
      <c r="B128" s="468"/>
      <c r="C128" s="468"/>
      <c r="D128" s="468"/>
      <c r="E128" s="468"/>
      <c r="F128" s="468"/>
      <c r="K128" s="381"/>
    </row>
    <row r="129" spans="1:11" ht="32.25" thickBot="1" x14ac:dyDescent="0.25">
      <c r="A129" s="166" t="s">
        <v>65</v>
      </c>
      <c r="B129" s="167" t="s">
        <v>66</v>
      </c>
      <c r="C129" s="190" t="s">
        <v>239</v>
      </c>
      <c r="D129" s="168" t="s">
        <v>227</v>
      </c>
      <c r="E129" s="168" t="s">
        <v>67</v>
      </c>
      <c r="F129" s="169" t="s">
        <v>300</v>
      </c>
      <c r="K129" s="381"/>
    </row>
    <row r="130" spans="1:11" x14ac:dyDescent="0.2">
      <c r="A130" s="251" t="s">
        <v>68</v>
      </c>
      <c r="B130" s="37" t="s">
        <v>9</v>
      </c>
      <c r="C130" s="191">
        <v>12</v>
      </c>
      <c r="D130" s="170">
        <v>98.4</v>
      </c>
      <c r="E130" s="171">
        <f>IFERROR(D130/C130,0)</f>
        <v>8.2000000000000011</v>
      </c>
      <c r="F130" s="259"/>
      <c r="H130" s="377"/>
      <c r="I130" s="362"/>
      <c r="J130" s="363"/>
      <c r="K130" s="381"/>
    </row>
    <row r="131" spans="1:11" x14ac:dyDescent="0.2">
      <c r="A131" s="31" t="s">
        <v>29</v>
      </c>
      <c r="B131" s="25" t="s">
        <v>9</v>
      </c>
      <c r="C131" s="191">
        <v>2</v>
      </c>
      <c r="D131" s="170">
        <v>50.42</v>
      </c>
      <c r="E131" s="171">
        <f t="shared" ref="E131:E135" si="3">IFERROR(D131/C131,0)</f>
        <v>25.21</v>
      </c>
      <c r="F131" s="260"/>
      <c r="H131" s="377"/>
      <c r="I131" s="362"/>
      <c r="J131" s="363"/>
      <c r="K131" s="381"/>
    </row>
    <row r="132" spans="1:11" x14ac:dyDescent="0.2">
      <c r="A132" s="31" t="s">
        <v>30</v>
      </c>
      <c r="B132" s="25" t="s">
        <v>9</v>
      </c>
      <c r="C132" s="191">
        <v>2</v>
      </c>
      <c r="D132" s="170">
        <v>22.4</v>
      </c>
      <c r="E132" s="171">
        <f t="shared" si="3"/>
        <v>11.2</v>
      </c>
      <c r="F132" s="260"/>
      <c r="H132" s="377"/>
      <c r="I132" s="362"/>
      <c r="J132" s="363"/>
      <c r="K132" s="381"/>
    </row>
    <row r="133" spans="1:11" x14ac:dyDescent="0.2">
      <c r="A133" s="31" t="s">
        <v>70</v>
      </c>
      <c r="B133" s="25" t="s">
        <v>49</v>
      </c>
      <c r="C133" s="191">
        <v>2</v>
      </c>
      <c r="D133" s="170">
        <v>65.290000000000006</v>
      </c>
      <c r="E133" s="171">
        <f t="shared" si="3"/>
        <v>32.645000000000003</v>
      </c>
      <c r="F133" s="260"/>
      <c r="H133" s="377"/>
      <c r="I133" s="362"/>
      <c r="J133" s="363"/>
      <c r="K133" s="381"/>
    </row>
    <row r="134" spans="1:11" x14ac:dyDescent="0.2">
      <c r="A134" s="31" t="s">
        <v>69</v>
      </c>
      <c r="B134" s="25" t="s">
        <v>9</v>
      </c>
      <c r="C134" s="191">
        <v>2</v>
      </c>
      <c r="D134" s="170">
        <v>20.66</v>
      </c>
      <c r="E134" s="171">
        <f t="shared" si="3"/>
        <v>10.33</v>
      </c>
      <c r="F134" s="260"/>
      <c r="H134" s="377"/>
      <c r="I134" s="362"/>
      <c r="J134" s="363"/>
      <c r="K134" s="381"/>
    </row>
    <row r="135" spans="1:11" x14ac:dyDescent="0.2">
      <c r="A135" s="31" t="s">
        <v>64</v>
      </c>
      <c r="B135" s="25" t="s">
        <v>50</v>
      </c>
      <c r="C135" s="191">
        <v>1</v>
      </c>
      <c r="D135" s="170">
        <v>24.44</v>
      </c>
      <c r="E135" s="171">
        <f t="shared" si="3"/>
        <v>24.44</v>
      </c>
      <c r="F135" s="260"/>
      <c r="H135" s="377"/>
      <c r="I135" s="362"/>
      <c r="J135" s="363"/>
      <c r="K135" s="381"/>
    </row>
    <row r="136" spans="1:11" x14ac:dyDescent="0.2">
      <c r="A136" s="31" t="s">
        <v>193</v>
      </c>
      <c r="B136" s="25" t="s">
        <v>120</v>
      </c>
      <c r="C136" s="192">
        <v>1</v>
      </c>
      <c r="D136" s="170">
        <v>82.46</v>
      </c>
      <c r="E136" s="173">
        <f t="shared" ref="E136:E137" si="4">C136*D136</f>
        <v>82.46</v>
      </c>
      <c r="F136" s="260"/>
      <c r="H136" s="377"/>
      <c r="I136" s="362"/>
      <c r="J136" s="363"/>
      <c r="K136" s="381"/>
    </row>
    <row r="137" spans="1:11" x14ac:dyDescent="0.2">
      <c r="A137" s="31" t="s">
        <v>4</v>
      </c>
      <c r="B137" s="25" t="s">
        <v>5</v>
      </c>
      <c r="C137" s="192">
        <f>E34</f>
        <v>1</v>
      </c>
      <c r="D137" s="173">
        <f>+SUM(E130:E136)</f>
        <v>194.48499999999999</v>
      </c>
      <c r="E137" s="173">
        <f t="shared" si="4"/>
        <v>194.48499999999999</v>
      </c>
      <c r="F137" s="260"/>
      <c r="G137" s="98"/>
      <c r="K137" s="381"/>
    </row>
    <row r="138" spans="1:11" ht="16.5" thickBot="1" x14ac:dyDescent="0.25">
      <c r="A138" s="496" t="s">
        <v>337</v>
      </c>
      <c r="B138" s="497"/>
      <c r="C138" s="498"/>
      <c r="D138" s="257" t="s">
        <v>301</v>
      </c>
      <c r="E138" s="349">
        <f>$B$41</f>
        <v>0.81810000000000005</v>
      </c>
      <c r="F138" s="211">
        <f>E137*E138</f>
        <v>159.10817850000001</v>
      </c>
      <c r="G138" s="98"/>
      <c r="K138" s="381"/>
    </row>
    <row r="139" spans="1:11" ht="11.25" customHeight="1" thickBot="1" x14ac:dyDescent="0.25">
      <c r="G139" s="98"/>
      <c r="K139" s="381"/>
    </row>
    <row r="140" spans="1:11" ht="16.5" thickBot="1" x14ac:dyDescent="0.25">
      <c r="A140" s="217" t="s">
        <v>194</v>
      </c>
      <c r="B140" s="271"/>
      <c r="C140" s="271"/>
      <c r="D140" s="272"/>
      <c r="E140" s="272"/>
      <c r="F140" s="178">
        <f>+F125+F138</f>
        <v>567.11373750000007</v>
      </c>
      <c r="G140" s="98"/>
      <c r="K140" s="381"/>
    </row>
    <row r="141" spans="1:11" ht="11.25" customHeight="1" x14ac:dyDescent="0.2">
      <c r="G141" s="98"/>
      <c r="K141" s="381"/>
    </row>
    <row r="142" spans="1:11" x14ac:dyDescent="0.2">
      <c r="A142" s="107" t="s">
        <v>55</v>
      </c>
      <c r="G142" s="98"/>
      <c r="K142" s="381"/>
    </row>
    <row r="143" spans="1:11" ht="11.25" customHeight="1" x14ac:dyDescent="0.2">
      <c r="B143" s="193"/>
      <c r="G143" s="98"/>
      <c r="K143" s="381"/>
    </row>
    <row r="144" spans="1:11" x14ac:dyDescent="0.2">
      <c r="A144" s="212" t="s">
        <v>525</v>
      </c>
      <c r="G144" s="98"/>
      <c r="K144" s="381"/>
    </row>
    <row r="145" spans="1:11" ht="11.25" customHeight="1" x14ac:dyDescent="0.2">
      <c r="G145" s="98"/>
      <c r="K145" s="381"/>
    </row>
    <row r="146" spans="1:11" ht="16.5" thickBot="1" x14ac:dyDescent="0.25">
      <c r="A146" s="221" t="s">
        <v>47</v>
      </c>
      <c r="G146" s="98"/>
      <c r="K146" s="381"/>
    </row>
    <row r="147" spans="1:11" ht="16.5" thickBot="1" x14ac:dyDescent="0.25">
      <c r="A147" s="166" t="s">
        <v>65</v>
      </c>
      <c r="B147" s="167" t="s">
        <v>66</v>
      </c>
      <c r="C147" s="167" t="s">
        <v>41</v>
      </c>
      <c r="D147" s="168" t="s">
        <v>227</v>
      </c>
      <c r="E147" s="168" t="s">
        <v>67</v>
      </c>
      <c r="F147" s="169" t="s">
        <v>300</v>
      </c>
      <c r="G147" s="98"/>
      <c r="K147" s="381"/>
    </row>
    <row r="148" spans="1:11" x14ac:dyDescent="0.2">
      <c r="A148" s="251" t="s">
        <v>107</v>
      </c>
      <c r="B148" s="37" t="s">
        <v>9</v>
      </c>
      <c r="C148" s="37">
        <v>1</v>
      </c>
      <c r="D148" s="370">
        <v>315845</v>
      </c>
      <c r="E148" s="215">
        <f>C148*D148</f>
        <v>315845</v>
      </c>
      <c r="F148" s="259"/>
      <c r="H148" s="377"/>
      <c r="I148" s="362"/>
      <c r="J148" s="363"/>
      <c r="K148" s="381"/>
    </row>
    <row r="149" spans="1:11" x14ac:dyDescent="0.2">
      <c r="A149" s="31" t="s">
        <v>101</v>
      </c>
      <c r="B149" s="25" t="s">
        <v>102</v>
      </c>
      <c r="C149" s="30">
        <v>3</v>
      </c>
      <c r="D149" s="174"/>
      <c r="E149" s="214"/>
      <c r="F149" s="260"/>
      <c r="G149" s="98"/>
      <c r="K149" s="381"/>
    </row>
    <row r="150" spans="1:11" x14ac:dyDescent="0.2">
      <c r="A150" s="31" t="s">
        <v>201</v>
      </c>
      <c r="B150" s="25" t="s">
        <v>102</v>
      </c>
      <c r="C150" s="30">
        <v>0</v>
      </c>
      <c r="D150" s="173"/>
      <c r="E150" s="214"/>
      <c r="F150" s="273"/>
      <c r="I150" s="194"/>
      <c r="J150" s="194"/>
      <c r="K150" s="381"/>
    </row>
    <row r="151" spans="1:11" x14ac:dyDescent="0.2">
      <c r="A151" s="31" t="s">
        <v>105</v>
      </c>
      <c r="B151" s="25" t="s">
        <v>2</v>
      </c>
      <c r="C151" s="176">
        <f>SUM('5. Depreciação'!B5)</f>
        <v>48.68</v>
      </c>
      <c r="D151" s="173">
        <f>E148</f>
        <v>315845</v>
      </c>
      <c r="E151" s="214">
        <f>C151*D151/100</f>
        <v>153753.34599999999</v>
      </c>
      <c r="F151" s="260"/>
      <c r="K151" s="381"/>
    </row>
    <row r="152" spans="1:11" ht="16.5" thickBot="1" x14ac:dyDescent="0.25">
      <c r="A152" s="274" t="s">
        <v>51</v>
      </c>
      <c r="B152" s="195" t="s">
        <v>7</v>
      </c>
      <c r="C152" s="195">
        <f>C149*12</f>
        <v>36</v>
      </c>
      <c r="D152" s="196">
        <f>IF(C150&lt;=C149,E151,0)</f>
        <v>153753.34599999999</v>
      </c>
      <c r="E152" s="222">
        <f>IFERROR(D152/C152,0)</f>
        <v>4270.9262777777776</v>
      </c>
      <c r="F152" s="260"/>
      <c r="K152" s="381"/>
    </row>
    <row r="153" spans="1:11" ht="16.5" thickTop="1" x14ac:dyDescent="0.2">
      <c r="A153" s="251" t="s">
        <v>106</v>
      </c>
      <c r="B153" s="37" t="s">
        <v>9</v>
      </c>
      <c r="C153" s="37">
        <f>C148</f>
        <v>1</v>
      </c>
      <c r="D153" s="370">
        <v>66133.44913319475</v>
      </c>
      <c r="E153" s="215">
        <f>C153*D153</f>
        <v>66133.44913319475</v>
      </c>
      <c r="F153" s="260"/>
      <c r="H153" s="377"/>
      <c r="I153" s="362"/>
      <c r="J153" s="363"/>
      <c r="K153" s="381"/>
    </row>
    <row r="154" spans="1:11" x14ac:dyDescent="0.2">
      <c r="A154" s="31" t="s">
        <v>103</v>
      </c>
      <c r="B154" s="25" t="s">
        <v>102</v>
      </c>
      <c r="C154" s="30">
        <v>3</v>
      </c>
      <c r="D154" s="173"/>
      <c r="E154" s="214"/>
      <c r="F154" s="260"/>
      <c r="K154" s="381"/>
    </row>
    <row r="155" spans="1:11" x14ac:dyDescent="0.2">
      <c r="A155" s="31" t="s">
        <v>202</v>
      </c>
      <c r="B155" s="25" t="s">
        <v>102</v>
      </c>
      <c r="C155" s="30">
        <v>0</v>
      </c>
      <c r="D155" s="173"/>
      <c r="E155" s="214"/>
      <c r="F155" s="273"/>
      <c r="I155" s="194"/>
      <c r="J155" s="194"/>
      <c r="K155" s="381"/>
    </row>
    <row r="156" spans="1:11" x14ac:dyDescent="0.2">
      <c r="A156" s="31" t="s">
        <v>104</v>
      </c>
      <c r="B156" s="25" t="s">
        <v>2</v>
      </c>
      <c r="C156" s="197">
        <f>SUM(C151)</f>
        <v>48.68</v>
      </c>
      <c r="D156" s="173">
        <f>E153</f>
        <v>66133.44913319475</v>
      </c>
      <c r="E156" s="214">
        <f>C156*D156/100</f>
        <v>32193.763038039204</v>
      </c>
      <c r="F156" s="260"/>
      <c r="K156" s="381"/>
    </row>
    <row r="157" spans="1:11" x14ac:dyDescent="0.2">
      <c r="A157" s="275" t="s">
        <v>108</v>
      </c>
      <c r="B157" s="120" t="s">
        <v>7</v>
      </c>
      <c r="C157" s="120">
        <f>C154*12</f>
        <v>36</v>
      </c>
      <c r="D157" s="181">
        <f>IF(C155&lt;=C154,E156,0)</f>
        <v>32193.763038039204</v>
      </c>
      <c r="E157" s="223">
        <f>IFERROR(D157/C157,0)</f>
        <v>894.27119550108898</v>
      </c>
      <c r="F157" s="260"/>
      <c r="K157" s="381"/>
    </row>
    <row r="158" spans="1:11" x14ac:dyDescent="0.2">
      <c r="A158" s="276" t="s">
        <v>242</v>
      </c>
      <c r="B158" s="277"/>
      <c r="C158" s="277"/>
      <c r="D158" s="278"/>
      <c r="E158" s="224">
        <f>E152+E157</f>
        <v>5165.1974732788667</v>
      </c>
      <c r="F158" s="260"/>
      <c r="K158" s="381"/>
    </row>
    <row r="159" spans="1:11" x14ac:dyDescent="0.2">
      <c r="A159" s="275" t="s">
        <v>243</v>
      </c>
      <c r="B159" s="120" t="s">
        <v>9</v>
      </c>
      <c r="C159" s="30">
        <v>1</v>
      </c>
      <c r="D159" s="181">
        <f>E158</f>
        <v>5165.1974732788667</v>
      </c>
      <c r="E159" s="224">
        <f>C159*D159</f>
        <v>5165.1974732788667</v>
      </c>
      <c r="F159" s="260"/>
      <c r="K159" s="381"/>
    </row>
    <row r="160" spans="1:11" ht="16.5" thickBot="1" x14ac:dyDescent="0.25">
      <c r="A160" s="506" t="str">
        <f>F147</f>
        <v>Total (R$)</v>
      </c>
      <c r="B160" s="507"/>
      <c r="C160" s="508"/>
      <c r="D160" s="257" t="s">
        <v>301</v>
      </c>
      <c r="E160" s="350">
        <f>$B$41</f>
        <v>0.81810000000000005</v>
      </c>
      <c r="F160" s="211">
        <f>(E159*E160)*1.08</f>
        <v>4563.6998971205967</v>
      </c>
      <c r="K160" s="381"/>
    </row>
    <row r="161" spans="1:11" ht="11.25" customHeight="1" x14ac:dyDescent="0.2">
      <c r="K161" s="381"/>
    </row>
    <row r="162" spans="1:11" ht="16.5" thickBot="1" x14ac:dyDescent="0.25">
      <c r="A162" s="221" t="s">
        <v>111</v>
      </c>
      <c r="K162" s="381"/>
    </row>
    <row r="163" spans="1:11" ht="16.5" thickBot="1" x14ac:dyDescent="0.25">
      <c r="A163" s="166" t="s">
        <v>65</v>
      </c>
      <c r="B163" s="167" t="s">
        <v>66</v>
      </c>
      <c r="C163" s="167" t="s">
        <v>41</v>
      </c>
      <c r="D163" s="168" t="s">
        <v>227</v>
      </c>
      <c r="E163" s="168" t="s">
        <v>67</v>
      </c>
      <c r="F163" s="169" t="s">
        <v>300</v>
      </c>
      <c r="I163" s="194"/>
      <c r="J163" s="194"/>
      <c r="K163" s="381"/>
    </row>
    <row r="164" spans="1:11" x14ac:dyDescent="0.2">
      <c r="A164" s="251" t="s">
        <v>109</v>
      </c>
      <c r="B164" s="37" t="s">
        <v>9</v>
      </c>
      <c r="C164" s="37">
        <v>1</v>
      </c>
      <c r="D164" s="171">
        <f>D148</f>
        <v>315845</v>
      </c>
      <c r="E164" s="215">
        <f>C164*D164</f>
        <v>315845</v>
      </c>
      <c r="F164" s="279"/>
      <c r="I164" s="194"/>
      <c r="J164" s="194"/>
      <c r="K164" s="381"/>
    </row>
    <row r="165" spans="1:11" x14ac:dyDescent="0.2">
      <c r="A165" s="31" t="s">
        <v>205</v>
      </c>
      <c r="B165" s="25" t="s">
        <v>2</v>
      </c>
      <c r="C165" s="30">
        <v>13.75</v>
      </c>
      <c r="D165" s="173"/>
      <c r="E165" s="214"/>
      <c r="F165" s="273"/>
      <c r="I165" s="194"/>
      <c r="J165" s="194"/>
      <c r="K165" s="381"/>
    </row>
    <row r="166" spans="1:11" x14ac:dyDescent="0.2">
      <c r="A166" s="31" t="s">
        <v>203</v>
      </c>
      <c r="B166" s="25" t="s">
        <v>34</v>
      </c>
      <c r="C166" s="198">
        <f>IFERROR(IF(C150&lt;=C149,E148-(C151/(100*C149)*C150)*E148,E148-E151),0)</f>
        <v>315845</v>
      </c>
      <c r="D166" s="173"/>
      <c r="E166" s="214"/>
      <c r="F166" s="273"/>
      <c r="I166" s="194"/>
      <c r="J166" s="194"/>
      <c r="K166" s="381"/>
    </row>
    <row r="167" spans="1:11" x14ac:dyDescent="0.2">
      <c r="A167" s="31" t="s">
        <v>113</v>
      </c>
      <c r="B167" s="25" t="s">
        <v>34</v>
      </c>
      <c r="C167" s="174">
        <f>IFERROR(IF(C155&gt;=C154,C166,((((C166)-(E153-E156))*(((C154-C155)+1)/(2*(C154-C155))))+(E153-E156))),0)</f>
        <v>221876.56203171849</v>
      </c>
      <c r="D167" s="173"/>
      <c r="E167" s="214"/>
      <c r="F167" s="273"/>
      <c r="I167" s="194"/>
      <c r="J167" s="194"/>
      <c r="K167" s="381"/>
    </row>
    <row r="168" spans="1:11" ht="16.5" thickBot="1" x14ac:dyDescent="0.25">
      <c r="A168" s="274" t="s">
        <v>114</v>
      </c>
      <c r="B168" s="195" t="s">
        <v>34</v>
      </c>
      <c r="C168" s="195"/>
      <c r="D168" s="199">
        <f>C165*C167/12/100</f>
        <v>2542.3356066134411</v>
      </c>
      <c r="E168" s="222">
        <f>D168</f>
        <v>2542.3356066134411</v>
      </c>
      <c r="F168" s="273"/>
      <c r="I168" s="194"/>
      <c r="J168" s="194"/>
      <c r="K168" s="381"/>
    </row>
    <row r="169" spans="1:11" ht="16.5" thickTop="1" x14ac:dyDescent="0.2">
      <c r="A169" s="251" t="s">
        <v>110</v>
      </c>
      <c r="B169" s="37" t="s">
        <v>9</v>
      </c>
      <c r="C169" s="37">
        <v>1</v>
      </c>
      <c r="D169" s="171">
        <f>SUM(D153)</f>
        <v>66133.44913319475</v>
      </c>
      <c r="E169" s="215">
        <f>C169*D169</f>
        <v>66133.44913319475</v>
      </c>
      <c r="F169" s="273"/>
      <c r="I169" s="194"/>
      <c r="J169" s="194"/>
      <c r="K169" s="381"/>
    </row>
    <row r="170" spans="1:11" x14ac:dyDescent="0.2">
      <c r="A170" s="31" t="s">
        <v>205</v>
      </c>
      <c r="B170" s="25" t="s">
        <v>2</v>
      </c>
      <c r="C170" s="30">
        <f>SUM(C165)</f>
        <v>13.75</v>
      </c>
      <c r="D170" s="173"/>
      <c r="E170" s="214"/>
      <c r="F170" s="273"/>
      <c r="I170" s="194"/>
      <c r="J170" s="194"/>
      <c r="K170" s="381"/>
    </row>
    <row r="171" spans="1:11" x14ac:dyDescent="0.2">
      <c r="A171" s="31" t="s">
        <v>204</v>
      </c>
      <c r="B171" s="25" t="s">
        <v>34</v>
      </c>
      <c r="C171" s="198">
        <f>IFERROR(IF(C155&lt;=C154,E153-(C156/(100*C154)*C155)*E153,E153-E156),0)</f>
        <v>66133.44913319475</v>
      </c>
      <c r="D171" s="173"/>
      <c r="E171" s="214"/>
      <c r="F171" s="273"/>
      <c r="I171" s="194"/>
      <c r="J171" s="194"/>
      <c r="K171" s="381"/>
    </row>
    <row r="172" spans="1:11" x14ac:dyDescent="0.2">
      <c r="A172" s="31" t="s">
        <v>115</v>
      </c>
      <c r="B172" s="25" t="s">
        <v>34</v>
      </c>
      <c r="C172" s="174">
        <f>IFERROR(IF(C155&gt;=C154,C171,((((C171)-(E153-E156))*(((C154-C155)+1)/(2*(C154-C155))))+(E153-E156))),0)</f>
        <v>55402.194787181681</v>
      </c>
      <c r="D172" s="173"/>
      <c r="E172" s="214"/>
      <c r="F172" s="273"/>
      <c r="I172" s="194"/>
      <c r="J172" s="194"/>
      <c r="K172" s="381"/>
    </row>
    <row r="173" spans="1:11" ht="16.5" thickBot="1" x14ac:dyDescent="0.25">
      <c r="A173" s="275" t="s">
        <v>112</v>
      </c>
      <c r="B173" s="195" t="s">
        <v>34</v>
      </c>
      <c r="C173" s="195"/>
      <c r="D173" s="199">
        <f>C170*C172/12/100</f>
        <v>634.81681526979003</v>
      </c>
      <c r="E173" s="222">
        <f>D173</f>
        <v>634.81681526979003</v>
      </c>
      <c r="F173" s="273"/>
      <c r="I173" s="194"/>
      <c r="J173" s="194"/>
      <c r="K173" s="381"/>
    </row>
    <row r="174" spans="1:11" ht="16.5" thickTop="1" x14ac:dyDescent="0.2">
      <c r="A174" s="276" t="s">
        <v>242</v>
      </c>
      <c r="B174" s="277"/>
      <c r="C174" s="277"/>
      <c r="D174" s="278"/>
      <c r="E174" s="224">
        <f>E168+E173</f>
        <v>3177.152421883231</v>
      </c>
      <c r="F174" s="273"/>
      <c r="I174" s="194"/>
      <c r="J174" s="194"/>
      <c r="K174" s="381"/>
    </row>
    <row r="175" spans="1:11" x14ac:dyDescent="0.2">
      <c r="A175" s="275" t="s">
        <v>243</v>
      </c>
      <c r="B175" s="120" t="s">
        <v>9</v>
      </c>
      <c r="C175" s="25">
        <f>C159</f>
        <v>1</v>
      </c>
      <c r="D175" s="181">
        <f>E174</f>
        <v>3177.152421883231</v>
      </c>
      <c r="E175" s="224">
        <f>C175*D175</f>
        <v>3177.152421883231</v>
      </c>
      <c r="F175" s="273"/>
      <c r="I175" s="194"/>
      <c r="J175" s="194"/>
      <c r="K175" s="381"/>
    </row>
    <row r="176" spans="1:11" ht="16.5" thickBot="1" x14ac:dyDescent="0.25">
      <c r="A176" s="509" t="str">
        <f>F163</f>
        <v>Total (R$)</v>
      </c>
      <c r="B176" s="497"/>
      <c r="C176" s="498"/>
      <c r="D176" s="257" t="s">
        <v>301</v>
      </c>
      <c r="E176" s="350">
        <f>$B$41</f>
        <v>0.81810000000000005</v>
      </c>
      <c r="F176" s="211">
        <f>(E175*E176)*1.08</f>
        <v>2807.1666680500857</v>
      </c>
      <c r="I176" s="194"/>
      <c r="J176" s="194"/>
      <c r="K176" s="381"/>
    </row>
    <row r="177" spans="1:11" ht="11.25" customHeight="1" x14ac:dyDescent="0.2">
      <c r="I177" s="194"/>
      <c r="J177" s="194"/>
      <c r="K177" s="381"/>
    </row>
    <row r="178" spans="1:11" ht="16.5" thickBot="1" x14ac:dyDescent="0.25">
      <c r="A178" s="220" t="s">
        <v>52</v>
      </c>
      <c r="I178" s="194"/>
      <c r="J178" s="194"/>
      <c r="K178" s="381"/>
    </row>
    <row r="179" spans="1:11" ht="16.5" thickBot="1" x14ac:dyDescent="0.25">
      <c r="A179" s="166" t="s">
        <v>65</v>
      </c>
      <c r="B179" s="167" t="s">
        <v>66</v>
      </c>
      <c r="C179" s="167" t="s">
        <v>41</v>
      </c>
      <c r="D179" s="168" t="s">
        <v>227</v>
      </c>
      <c r="E179" s="168" t="s">
        <v>67</v>
      </c>
      <c r="F179" s="169" t="s">
        <v>300</v>
      </c>
      <c r="I179" s="194"/>
      <c r="J179" s="194"/>
      <c r="K179" s="381"/>
    </row>
    <row r="180" spans="1:11" x14ac:dyDescent="0.2">
      <c r="A180" s="251" t="s">
        <v>11</v>
      </c>
      <c r="B180" s="37" t="s">
        <v>9</v>
      </c>
      <c r="C180" s="171">
        <f>C148</f>
        <v>1</v>
      </c>
      <c r="D180" s="371">
        <v>2145.5674082784858</v>
      </c>
      <c r="E180" s="171">
        <f>C180*D180</f>
        <v>2145.5674082784858</v>
      </c>
      <c r="F180" s="259"/>
      <c r="H180" s="377"/>
      <c r="I180" s="362"/>
      <c r="J180" s="363"/>
      <c r="K180" s="381"/>
    </row>
    <row r="181" spans="1:11" x14ac:dyDescent="0.2">
      <c r="A181" s="31" t="s">
        <v>192</v>
      </c>
      <c r="B181" s="25" t="s">
        <v>9</v>
      </c>
      <c r="C181" s="171">
        <v>1</v>
      </c>
      <c r="D181" s="185">
        <f>66.7+5.78</f>
        <v>72.48</v>
      </c>
      <c r="E181" s="173">
        <f>C181*D181</f>
        <v>72.48</v>
      </c>
      <c r="F181" s="260"/>
      <c r="H181" s="377"/>
      <c r="I181" s="362"/>
      <c r="J181" s="363"/>
      <c r="K181" s="381"/>
    </row>
    <row r="182" spans="1:11" x14ac:dyDescent="0.2">
      <c r="A182" s="31" t="s">
        <v>12</v>
      </c>
      <c r="B182" s="25" t="s">
        <v>9</v>
      </c>
      <c r="C182" s="171">
        <v>1</v>
      </c>
      <c r="D182" s="367">
        <v>5613.8037992208701</v>
      </c>
      <c r="E182" s="173">
        <f>C182*D182</f>
        <v>5613.8037992208701</v>
      </c>
      <c r="F182" s="280"/>
      <c r="H182" s="377"/>
      <c r="I182" s="362"/>
      <c r="J182" s="363"/>
      <c r="K182" s="381"/>
    </row>
    <row r="183" spans="1:11" x14ac:dyDescent="0.2">
      <c r="A183" s="275" t="s">
        <v>13</v>
      </c>
      <c r="B183" s="120" t="s">
        <v>7</v>
      </c>
      <c r="C183" s="120">
        <v>12</v>
      </c>
      <c r="D183" s="181">
        <f>SUM(E180:E182)</f>
        <v>7831.851207499356</v>
      </c>
      <c r="E183" s="181">
        <f>D183/C183</f>
        <v>652.654267291613</v>
      </c>
      <c r="F183" s="260"/>
      <c r="I183" s="194"/>
      <c r="J183" s="194"/>
      <c r="K183" s="381"/>
    </row>
    <row r="184" spans="1:11" ht="16.5" thickBot="1" x14ac:dyDescent="0.25">
      <c r="A184" s="281" t="str">
        <f>F179</f>
        <v>Total (R$)</v>
      </c>
      <c r="B184" s="282"/>
      <c r="C184" s="282"/>
      <c r="D184" s="257" t="s">
        <v>301</v>
      </c>
      <c r="E184" s="349">
        <f>$B$41</f>
        <v>0.81810000000000005</v>
      </c>
      <c r="F184" s="211">
        <f>E183*E184</f>
        <v>533.93645607126859</v>
      </c>
      <c r="I184" s="194"/>
      <c r="J184" s="194"/>
      <c r="K184" s="381"/>
    </row>
    <row r="185" spans="1:11" ht="11.25" customHeight="1" x14ac:dyDescent="0.2">
      <c r="I185" s="194"/>
      <c r="J185" s="194"/>
      <c r="K185" s="381"/>
    </row>
    <row r="186" spans="1:11" x14ac:dyDescent="0.2">
      <c r="A186" s="220" t="s">
        <v>53</v>
      </c>
      <c r="B186" s="201"/>
      <c r="I186" s="194"/>
      <c r="J186" s="194"/>
      <c r="K186" s="381"/>
    </row>
    <row r="187" spans="1:11" ht="16.5" thickBot="1" x14ac:dyDescent="0.25">
      <c r="B187" s="201"/>
      <c r="I187" s="194"/>
      <c r="J187" s="194"/>
      <c r="K187" s="381"/>
    </row>
    <row r="188" spans="1:11" ht="16.5" thickBot="1" x14ac:dyDescent="0.25">
      <c r="A188" s="186" t="s">
        <v>117</v>
      </c>
      <c r="B188" s="389">
        <v>1992.8</v>
      </c>
      <c r="I188" s="194"/>
      <c r="J188" s="194"/>
      <c r="K188" s="381"/>
    </row>
    <row r="189" spans="1:11" ht="16.5" thickBot="1" x14ac:dyDescent="0.25">
      <c r="B189" s="201"/>
      <c r="I189" s="194"/>
      <c r="J189" s="194"/>
      <c r="K189" s="381"/>
    </row>
    <row r="190" spans="1:11" ht="16.5" thickBot="1" x14ac:dyDescent="0.25">
      <c r="A190" s="166" t="s">
        <v>65</v>
      </c>
      <c r="B190" s="167" t="s">
        <v>66</v>
      </c>
      <c r="C190" s="167" t="s">
        <v>241</v>
      </c>
      <c r="D190" s="168" t="s">
        <v>227</v>
      </c>
      <c r="E190" s="168" t="s">
        <v>67</v>
      </c>
      <c r="F190" s="169" t="s">
        <v>300</v>
      </c>
      <c r="I190" s="194"/>
      <c r="J190" s="194"/>
      <c r="K190" s="381"/>
    </row>
    <row r="191" spans="1:11" x14ac:dyDescent="0.2">
      <c r="A191" s="283" t="s">
        <v>14</v>
      </c>
      <c r="B191" s="226" t="s">
        <v>15</v>
      </c>
      <c r="C191" s="227">
        <v>1.9</v>
      </c>
      <c r="D191" s="378">
        <v>5.81</v>
      </c>
      <c r="E191" s="240"/>
      <c r="F191" s="259"/>
      <c r="H191" s="377"/>
      <c r="I191" s="362"/>
      <c r="J191" s="363"/>
      <c r="K191" s="381"/>
    </row>
    <row r="192" spans="1:11" x14ac:dyDescent="0.2">
      <c r="A192" s="284" t="s">
        <v>16</v>
      </c>
      <c r="B192" s="231" t="s">
        <v>17</v>
      </c>
      <c r="C192" s="387">
        <f>SUM(B188)</f>
        <v>1992.8</v>
      </c>
      <c r="D192" s="233">
        <f>IFERROR(+D191/C191,"-")</f>
        <v>3.0578947368421052</v>
      </c>
      <c r="E192" s="241">
        <f>IFERROR(C192*D192,"-")</f>
        <v>6093.7726315789469</v>
      </c>
      <c r="F192" s="260"/>
      <c r="G192" s="364"/>
      <c r="I192" s="194"/>
      <c r="J192" s="194"/>
      <c r="K192" s="381"/>
    </row>
    <row r="193" spans="1:11" x14ac:dyDescent="0.2">
      <c r="A193" s="70" t="s">
        <v>228</v>
      </c>
      <c r="B193" s="237" t="s">
        <v>18</v>
      </c>
      <c r="C193" s="238">
        <v>6</v>
      </c>
      <c r="D193" s="374">
        <v>34.145729622673869</v>
      </c>
      <c r="E193" s="242"/>
      <c r="F193" s="260"/>
      <c r="H193" s="377"/>
      <c r="I193" s="362"/>
      <c r="J193" s="363"/>
      <c r="K193" s="381"/>
    </row>
    <row r="194" spans="1:11" x14ac:dyDescent="0.2">
      <c r="A194" s="69" t="s">
        <v>19</v>
      </c>
      <c r="B194" s="228" t="s">
        <v>17</v>
      </c>
      <c r="C194" s="388">
        <f>C192</f>
        <v>1992.8</v>
      </c>
      <c r="D194" s="230">
        <f>+C193*D193/1000</f>
        <v>0.20487437773604322</v>
      </c>
      <c r="E194" s="243">
        <f>C194*D194</f>
        <v>408.27365995238694</v>
      </c>
      <c r="F194" s="260"/>
      <c r="G194" s="365"/>
      <c r="I194" s="194"/>
      <c r="J194" s="194"/>
      <c r="K194" s="381"/>
    </row>
    <row r="195" spans="1:11" x14ac:dyDescent="0.2">
      <c r="A195" s="285" t="s">
        <v>229</v>
      </c>
      <c r="B195" s="234" t="s">
        <v>18</v>
      </c>
      <c r="C195" s="235">
        <v>6.5</v>
      </c>
      <c r="D195" s="375">
        <v>64.057388772136164</v>
      </c>
      <c r="E195" s="244"/>
      <c r="F195" s="260"/>
      <c r="H195" s="377"/>
      <c r="I195" s="362"/>
      <c r="J195" s="363"/>
      <c r="K195" s="381"/>
    </row>
    <row r="196" spans="1:11" x14ac:dyDescent="0.2">
      <c r="A196" s="69" t="s">
        <v>20</v>
      </c>
      <c r="B196" s="228" t="s">
        <v>17</v>
      </c>
      <c r="C196" s="388">
        <f>C192</f>
        <v>1992.8</v>
      </c>
      <c r="D196" s="230">
        <f>+C195*D195/1000</f>
        <v>0.41637302701888507</v>
      </c>
      <c r="E196" s="243">
        <f>C196*D196</f>
        <v>829.74816824323409</v>
      </c>
      <c r="F196" s="260"/>
      <c r="G196" s="365"/>
      <c r="I196" s="194"/>
      <c r="J196" s="194"/>
      <c r="K196" s="381"/>
    </row>
    <row r="197" spans="1:11" x14ac:dyDescent="0.2">
      <c r="A197" s="70" t="s">
        <v>230</v>
      </c>
      <c r="B197" s="237" t="s">
        <v>18</v>
      </c>
      <c r="C197" s="238">
        <v>10</v>
      </c>
      <c r="D197" s="374">
        <v>11.404673693973072</v>
      </c>
      <c r="E197" s="242"/>
      <c r="F197" s="260"/>
      <c r="H197" s="377"/>
      <c r="I197" s="362"/>
      <c r="J197" s="363"/>
      <c r="K197" s="381"/>
    </row>
    <row r="198" spans="1:11" x14ac:dyDescent="0.2">
      <c r="A198" s="69" t="s">
        <v>21</v>
      </c>
      <c r="B198" s="228" t="s">
        <v>17</v>
      </c>
      <c r="C198" s="388">
        <f>C192</f>
        <v>1992.8</v>
      </c>
      <c r="D198" s="230">
        <f>+C197*D197/1000</f>
        <v>0.11404673693973072</v>
      </c>
      <c r="E198" s="243">
        <f>C198*D198</f>
        <v>227.27233737349536</v>
      </c>
      <c r="F198" s="260"/>
      <c r="G198" s="365"/>
      <c r="I198" s="194"/>
      <c r="J198" s="194"/>
      <c r="K198" s="381"/>
    </row>
    <row r="199" spans="1:11" x14ac:dyDescent="0.2">
      <c r="A199" s="70" t="s">
        <v>22</v>
      </c>
      <c r="B199" s="237" t="s">
        <v>23</v>
      </c>
      <c r="C199" s="238">
        <v>2</v>
      </c>
      <c r="D199" s="374">
        <v>27.180000779648395</v>
      </c>
      <c r="E199" s="242"/>
      <c r="F199" s="260"/>
      <c r="H199" s="377"/>
      <c r="I199" s="362"/>
      <c r="J199" s="363"/>
      <c r="K199" s="381"/>
    </row>
    <row r="200" spans="1:11" x14ac:dyDescent="0.2">
      <c r="A200" s="69" t="s">
        <v>24</v>
      </c>
      <c r="B200" s="228" t="s">
        <v>17</v>
      </c>
      <c r="C200" s="388">
        <f>C192</f>
        <v>1992.8</v>
      </c>
      <c r="D200" s="230">
        <f>+C199*D199/1000</f>
        <v>5.4360001559296788E-2</v>
      </c>
      <c r="E200" s="243">
        <f>C200*D200</f>
        <v>108.32861110736664</v>
      </c>
      <c r="F200" s="260"/>
      <c r="G200" s="202"/>
      <c r="I200" s="194"/>
      <c r="J200" s="194"/>
      <c r="K200" s="381"/>
    </row>
    <row r="201" spans="1:11" x14ac:dyDescent="0.2">
      <c r="A201" s="275" t="s">
        <v>240</v>
      </c>
      <c r="B201" s="120" t="s">
        <v>118</v>
      </c>
      <c r="C201" s="203"/>
      <c r="D201" s="204">
        <f>IFERROR(D192+D194+D196+D198+D200,0)</f>
        <v>3.8475488800960607</v>
      </c>
      <c r="E201" s="214"/>
      <c r="F201" s="260"/>
      <c r="G201" s="202"/>
      <c r="I201" s="194"/>
      <c r="J201" s="194"/>
      <c r="K201" s="381"/>
    </row>
    <row r="202" spans="1:11" ht="16.5" thickBot="1" x14ac:dyDescent="0.25">
      <c r="A202" s="509" t="str">
        <f>F190</f>
        <v>Total (R$)</v>
      </c>
      <c r="B202" s="510"/>
      <c r="C202" s="510"/>
      <c r="D202" s="510"/>
      <c r="E202" s="511"/>
      <c r="F202" s="211">
        <f>SUM(E191:E200)</f>
        <v>7667.3954082554301</v>
      </c>
      <c r="I202" s="194"/>
      <c r="J202" s="194"/>
      <c r="K202" s="381"/>
    </row>
    <row r="203" spans="1:11" ht="11.25" customHeight="1" x14ac:dyDescent="0.2">
      <c r="I203" s="194"/>
      <c r="J203" s="194"/>
      <c r="K203" s="381"/>
    </row>
    <row r="204" spans="1:11" ht="16.5" thickBot="1" x14ac:dyDescent="0.25">
      <c r="A204" s="220" t="s">
        <v>54</v>
      </c>
      <c r="I204" s="194"/>
      <c r="J204" s="194"/>
      <c r="K204" s="381"/>
    </row>
    <row r="205" spans="1:11" ht="16.5" thickBot="1" x14ac:dyDescent="0.25">
      <c r="A205" s="166" t="s">
        <v>65</v>
      </c>
      <c r="B205" s="167" t="s">
        <v>66</v>
      </c>
      <c r="C205" s="167" t="s">
        <v>41</v>
      </c>
      <c r="D205" s="168" t="s">
        <v>227</v>
      </c>
      <c r="E205" s="168" t="s">
        <v>67</v>
      </c>
      <c r="F205" s="169" t="s">
        <v>300</v>
      </c>
      <c r="I205" s="194"/>
      <c r="J205" s="194"/>
      <c r="K205" s="381"/>
    </row>
    <row r="206" spans="1:11" x14ac:dyDescent="0.2">
      <c r="A206" s="251" t="s">
        <v>116</v>
      </c>
      <c r="B206" s="37" t="s">
        <v>118</v>
      </c>
      <c r="C206" s="173">
        <f>C192</f>
        <v>1992.8</v>
      </c>
      <c r="D206" s="370">
        <v>0.74</v>
      </c>
      <c r="E206" s="215">
        <f>C206*D206</f>
        <v>1474.672</v>
      </c>
      <c r="F206" s="259"/>
      <c r="H206" s="377"/>
      <c r="I206" s="362"/>
      <c r="J206" s="363"/>
      <c r="K206" s="381"/>
    </row>
    <row r="207" spans="1:11" ht="16.5" thickBot="1" x14ac:dyDescent="0.25">
      <c r="A207" s="509" t="str">
        <f>F205</f>
        <v>Total (R$)</v>
      </c>
      <c r="B207" s="510"/>
      <c r="C207" s="510"/>
      <c r="D207" s="510"/>
      <c r="E207" s="511"/>
      <c r="F207" s="211">
        <f>E206</f>
        <v>1474.672</v>
      </c>
      <c r="I207" s="194"/>
      <c r="J207" s="194"/>
      <c r="K207" s="381"/>
    </row>
    <row r="208" spans="1:11" ht="11.25" customHeight="1" x14ac:dyDescent="0.2">
      <c r="I208" s="194"/>
      <c r="J208" s="194"/>
      <c r="K208" s="381"/>
    </row>
    <row r="209" spans="1:11" ht="16.5" thickBot="1" x14ac:dyDescent="0.25">
      <c r="A209" s="220" t="s">
        <v>63</v>
      </c>
      <c r="I209" s="194"/>
      <c r="J209" s="194"/>
      <c r="K209" s="381"/>
    </row>
    <row r="210" spans="1:11" ht="16.5" thickBot="1" x14ac:dyDescent="0.25">
      <c r="A210" s="166" t="s">
        <v>65</v>
      </c>
      <c r="B210" s="167" t="s">
        <v>66</v>
      </c>
      <c r="C210" s="167" t="s">
        <v>41</v>
      </c>
      <c r="D210" s="168" t="s">
        <v>227</v>
      </c>
      <c r="E210" s="168" t="s">
        <v>67</v>
      </c>
      <c r="F210" s="169" t="s">
        <v>300</v>
      </c>
      <c r="I210" s="194"/>
      <c r="J210" s="194"/>
      <c r="K210" s="381"/>
    </row>
    <row r="211" spans="1:11" x14ac:dyDescent="0.2">
      <c r="A211" s="251" t="s">
        <v>310</v>
      </c>
      <c r="B211" s="37" t="s">
        <v>9</v>
      </c>
      <c r="C211" s="205">
        <v>6</v>
      </c>
      <c r="D211" s="370">
        <v>1709.67</v>
      </c>
      <c r="E211" s="215">
        <f>C211*D211</f>
        <v>10258.02</v>
      </c>
      <c r="F211" s="259"/>
      <c r="H211" s="377"/>
      <c r="I211" s="362"/>
      <c r="J211" s="363"/>
      <c r="K211" s="381"/>
    </row>
    <row r="212" spans="1:11" x14ac:dyDescent="0.2">
      <c r="A212" s="251" t="s">
        <v>119</v>
      </c>
      <c r="B212" s="37" t="s">
        <v>9</v>
      </c>
      <c r="C212" s="205">
        <v>1</v>
      </c>
      <c r="D212" s="206"/>
      <c r="E212" s="215"/>
      <c r="F212" s="260"/>
      <c r="I212" s="194"/>
      <c r="J212" s="194"/>
      <c r="K212" s="381"/>
    </row>
    <row r="213" spans="1:11" x14ac:dyDescent="0.2">
      <c r="A213" s="251" t="s">
        <v>72</v>
      </c>
      <c r="B213" s="37" t="s">
        <v>9</v>
      </c>
      <c r="C213" s="171">
        <f>C211*C212</f>
        <v>6</v>
      </c>
      <c r="D213" s="370">
        <v>751.20605169882504</v>
      </c>
      <c r="E213" s="215">
        <f>C213*D213</f>
        <v>4507.2363101929504</v>
      </c>
      <c r="F213" s="260"/>
      <c r="H213" s="377"/>
      <c r="I213" s="362"/>
      <c r="J213" s="363"/>
      <c r="K213" s="381"/>
    </row>
    <row r="214" spans="1:11" x14ac:dyDescent="0.2">
      <c r="A214" s="31" t="s">
        <v>309</v>
      </c>
      <c r="B214" s="25" t="s">
        <v>25</v>
      </c>
      <c r="C214" s="207">
        <v>50000</v>
      </c>
      <c r="D214" s="173">
        <f>E211+E213</f>
        <v>14765.256310192952</v>
      </c>
      <c r="E214" s="214">
        <f>IFERROR(D214/C214,"-")</f>
        <v>0.29530512620385901</v>
      </c>
      <c r="F214" s="260"/>
      <c r="I214" s="194"/>
      <c r="J214" s="194"/>
      <c r="K214" s="381"/>
    </row>
    <row r="215" spans="1:11" x14ac:dyDescent="0.2">
      <c r="A215" s="31" t="s">
        <v>56</v>
      </c>
      <c r="B215" s="25" t="s">
        <v>17</v>
      </c>
      <c r="C215" s="173">
        <f>B188</f>
        <v>1992.8</v>
      </c>
      <c r="D215" s="173">
        <f>E214</f>
        <v>0.29530512620385901</v>
      </c>
      <c r="E215" s="214">
        <f>IFERROR(C215*D215,0)</f>
        <v>588.48405549905021</v>
      </c>
      <c r="F215" s="260"/>
      <c r="I215" s="194"/>
      <c r="J215" s="194"/>
      <c r="K215" s="381"/>
    </row>
    <row r="216" spans="1:11" ht="16.5" thickBot="1" x14ac:dyDescent="0.25">
      <c r="A216" s="509" t="str">
        <f>F210</f>
        <v>Total (R$)</v>
      </c>
      <c r="B216" s="510"/>
      <c r="C216" s="510"/>
      <c r="D216" s="510"/>
      <c r="E216" s="511"/>
      <c r="F216" s="211">
        <f>E215</f>
        <v>588.48405549905021</v>
      </c>
      <c r="I216" s="194"/>
      <c r="J216" s="194"/>
      <c r="K216" s="381"/>
    </row>
    <row r="217" spans="1:11" ht="11.25" customHeight="1" x14ac:dyDescent="0.2">
      <c r="I217" s="194"/>
      <c r="J217" s="194"/>
      <c r="K217" s="381"/>
    </row>
    <row r="218" spans="1:11" ht="11.25" customHeight="1" thickBot="1" x14ac:dyDescent="0.25">
      <c r="G218" s="98"/>
      <c r="K218" s="381"/>
    </row>
    <row r="219" spans="1:11" ht="16.5" thickBot="1" x14ac:dyDescent="0.25">
      <c r="A219" s="217" t="s">
        <v>219</v>
      </c>
      <c r="B219" s="218"/>
      <c r="C219" s="218"/>
      <c r="D219" s="156"/>
      <c r="E219" s="156"/>
      <c r="F219" s="213">
        <f>+SUM(F148:F218)</f>
        <v>17635.354484996431</v>
      </c>
      <c r="G219" s="98"/>
      <c r="K219" s="381"/>
    </row>
    <row r="220" spans="1:11" ht="11.25" customHeight="1" x14ac:dyDescent="0.2">
      <c r="G220" s="98"/>
      <c r="K220" s="381"/>
    </row>
    <row r="221" spans="1:11" x14ac:dyDescent="0.2">
      <c r="A221" s="107" t="s">
        <v>75</v>
      </c>
      <c r="B221" s="107"/>
      <c r="C221" s="107"/>
      <c r="D221" s="128"/>
      <c r="E221" s="128"/>
      <c r="F221" s="208"/>
      <c r="G221" s="98"/>
      <c r="K221" s="381"/>
    </row>
    <row r="222" spans="1:11" ht="11.25" customHeight="1" thickBot="1" x14ac:dyDescent="0.25">
      <c r="G222" s="98"/>
      <c r="K222" s="381"/>
    </row>
    <row r="223" spans="1:11" ht="16.5" thickBot="1" x14ac:dyDescent="0.25">
      <c r="A223" s="166" t="s">
        <v>65</v>
      </c>
      <c r="B223" s="167" t="s">
        <v>66</v>
      </c>
      <c r="C223" s="167" t="s">
        <v>41</v>
      </c>
      <c r="D223" s="168" t="s">
        <v>227</v>
      </c>
      <c r="E223" s="168" t="s">
        <v>67</v>
      </c>
      <c r="F223" s="169" t="s">
        <v>300</v>
      </c>
      <c r="G223" s="98"/>
      <c r="K223" s="381"/>
    </row>
    <row r="224" spans="1:11" x14ac:dyDescent="0.2">
      <c r="A224" s="31" t="s">
        <v>73</v>
      </c>
      <c r="B224" s="25" t="s">
        <v>9</v>
      </c>
      <c r="C224" s="191">
        <v>2</v>
      </c>
      <c r="D224" s="370">
        <v>39.472463443810987</v>
      </c>
      <c r="E224" s="214">
        <f>C224*D224/12</f>
        <v>6.5787439073018312</v>
      </c>
      <c r="F224" s="279"/>
      <c r="H224" s="377"/>
      <c r="I224" s="362"/>
      <c r="J224" s="363"/>
      <c r="K224" s="381"/>
    </row>
    <row r="225" spans="1:11" x14ac:dyDescent="0.2">
      <c r="A225" s="31" t="s">
        <v>27</v>
      </c>
      <c r="B225" s="25" t="s">
        <v>9</v>
      </c>
      <c r="C225" s="191">
        <v>4</v>
      </c>
      <c r="D225" s="370">
        <v>29.911659149462309</v>
      </c>
      <c r="E225" s="214">
        <f t="shared" ref="E225:E228" si="5">C225*D225/12</f>
        <v>9.9705530498207704</v>
      </c>
      <c r="F225" s="273"/>
      <c r="H225" s="377"/>
      <c r="I225" s="362"/>
      <c r="J225" s="363"/>
      <c r="K225" s="381"/>
    </row>
    <row r="226" spans="1:11" x14ac:dyDescent="0.2">
      <c r="A226" s="31" t="s">
        <v>28</v>
      </c>
      <c r="B226" s="25" t="s">
        <v>9</v>
      </c>
      <c r="C226" s="191">
        <v>6</v>
      </c>
      <c r="D226" s="170">
        <v>24.9</v>
      </c>
      <c r="E226" s="214">
        <f t="shared" si="5"/>
        <v>12.449999999999998</v>
      </c>
      <c r="F226" s="273"/>
      <c r="H226" s="377"/>
      <c r="I226" s="362"/>
      <c r="J226" s="363"/>
      <c r="K226" s="381"/>
    </row>
    <row r="227" spans="1:11" x14ac:dyDescent="0.2">
      <c r="A227" s="31" t="s">
        <v>58</v>
      </c>
      <c r="B227" s="25" t="s">
        <v>59</v>
      </c>
      <c r="C227" s="191">
        <v>1</v>
      </c>
      <c r="D227" s="370">
        <v>286.8241288304605</v>
      </c>
      <c r="E227" s="214">
        <f t="shared" si="5"/>
        <v>23.902010735871709</v>
      </c>
      <c r="F227" s="273"/>
      <c r="H227" s="377"/>
      <c r="I227" s="362"/>
      <c r="J227" s="363"/>
      <c r="K227" s="381"/>
    </row>
    <row r="228" spans="1:11" x14ac:dyDescent="0.2">
      <c r="A228" s="31" t="s">
        <v>61</v>
      </c>
      <c r="B228" s="25" t="s">
        <v>59</v>
      </c>
      <c r="C228" s="191">
        <v>1</v>
      </c>
      <c r="D228" s="370">
        <v>245.84925328325184</v>
      </c>
      <c r="E228" s="214">
        <f t="shared" si="5"/>
        <v>20.48743777360432</v>
      </c>
      <c r="F228" s="273"/>
      <c r="H228" s="377"/>
      <c r="I228" s="362"/>
      <c r="J228" s="363"/>
      <c r="K228" s="381"/>
    </row>
    <row r="229" spans="1:11" ht="16.5" thickBot="1" x14ac:dyDescent="0.25">
      <c r="A229" s="509" t="s">
        <v>337</v>
      </c>
      <c r="B229" s="497"/>
      <c r="C229" s="286"/>
      <c r="D229" s="257" t="s">
        <v>301</v>
      </c>
      <c r="E229" s="350">
        <f>$B$41</f>
        <v>0.81810000000000005</v>
      </c>
      <c r="F229" s="211">
        <f>(E224+E225+E226+E227+E228)*E229</f>
        <v>60.039332666224347</v>
      </c>
      <c r="G229" s="98"/>
      <c r="K229" s="381"/>
    </row>
    <row r="230" spans="1:11" ht="11.25" customHeight="1" thickBot="1" x14ac:dyDescent="0.25">
      <c r="G230" s="98"/>
      <c r="K230" s="381"/>
    </row>
    <row r="231" spans="1:11" ht="16.5" thickBot="1" x14ac:dyDescent="0.25">
      <c r="A231" s="528" t="s">
        <v>220</v>
      </c>
      <c r="B231" s="529"/>
      <c r="C231" s="529"/>
      <c r="D231" s="529"/>
      <c r="E231" s="529"/>
      <c r="F231" s="178">
        <f>+F229</f>
        <v>60.039332666224347</v>
      </c>
      <c r="G231" s="98"/>
      <c r="K231" s="381"/>
    </row>
    <row r="232" spans="1:11" ht="11.25" customHeight="1" x14ac:dyDescent="0.2">
      <c r="G232" s="98"/>
      <c r="K232" s="381"/>
    </row>
    <row r="233" spans="1:11" x14ac:dyDescent="0.2">
      <c r="A233" s="107" t="s">
        <v>76</v>
      </c>
      <c r="B233" s="107"/>
      <c r="C233" s="107"/>
      <c r="D233" s="128"/>
      <c r="E233" s="128"/>
      <c r="F233" s="208"/>
      <c r="K233" s="381"/>
    </row>
    <row r="234" spans="1:11" ht="11.25" customHeight="1" thickBot="1" x14ac:dyDescent="0.25">
      <c r="K234" s="381"/>
    </row>
    <row r="235" spans="1:11" ht="16.5" thickBot="1" x14ac:dyDescent="0.25">
      <c r="A235" s="166" t="s">
        <v>65</v>
      </c>
      <c r="B235" s="167" t="s">
        <v>66</v>
      </c>
      <c r="C235" s="167" t="s">
        <v>41</v>
      </c>
      <c r="D235" s="168" t="s">
        <v>227</v>
      </c>
      <c r="E235" s="168" t="s">
        <v>67</v>
      </c>
      <c r="F235" s="169" t="s">
        <v>300</v>
      </c>
      <c r="K235" s="381"/>
    </row>
    <row r="236" spans="1:11" x14ac:dyDescent="0.2">
      <c r="A236" s="31" t="s">
        <v>217</v>
      </c>
      <c r="B236" s="25" t="s">
        <v>59</v>
      </c>
      <c r="C236" s="192">
        <f>C148</f>
        <v>1</v>
      </c>
      <c r="D236" s="367">
        <v>1160.9548071709116</v>
      </c>
      <c r="E236" s="214">
        <f>+D236*C236</f>
        <v>1160.9548071709116</v>
      </c>
      <c r="F236" s="279"/>
      <c r="H236" s="377"/>
      <c r="I236" s="362"/>
      <c r="J236" s="363"/>
      <c r="K236" s="381"/>
    </row>
    <row r="237" spans="1:11" x14ac:dyDescent="0.2">
      <c r="A237" s="31" t="s">
        <v>62</v>
      </c>
      <c r="B237" s="25" t="s">
        <v>7</v>
      </c>
      <c r="C237" s="25">
        <v>60</v>
      </c>
      <c r="D237" s="173">
        <f>SUM(E236:E236)</f>
        <v>1160.9548071709116</v>
      </c>
      <c r="E237" s="214">
        <f>+D237/C237</f>
        <v>19.349246786181862</v>
      </c>
      <c r="F237" s="273"/>
      <c r="K237" s="381"/>
    </row>
    <row r="238" spans="1:11" x14ac:dyDescent="0.2">
      <c r="A238" s="31" t="s">
        <v>218</v>
      </c>
      <c r="B238" s="25" t="s">
        <v>9</v>
      </c>
      <c r="C238" s="192">
        <f>+C236</f>
        <v>1</v>
      </c>
      <c r="D238" s="367">
        <v>102.43718886802201</v>
      </c>
      <c r="E238" s="214">
        <f>C238*D238</f>
        <v>102.43718886802201</v>
      </c>
      <c r="F238" s="273"/>
      <c r="H238" s="377"/>
      <c r="I238" s="362"/>
      <c r="J238" s="363"/>
      <c r="K238" s="381"/>
    </row>
    <row r="239" spans="1:11" x14ac:dyDescent="0.2">
      <c r="A239" s="31" t="s">
        <v>38</v>
      </c>
      <c r="B239" s="25" t="s">
        <v>7</v>
      </c>
      <c r="C239" s="25">
        <v>1</v>
      </c>
      <c r="D239" s="173">
        <f>+E238</f>
        <v>102.43718886802201</v>
      </c>
      <c r="E239" s="214">
        <f>+D239/C239</f>
        <v>102.43718886802201</v>
      </c>
      <c r="F239" s="273"/>
      <c r="K239" s="381"/>
    </row>
    <row r="240" spans="1:11" ht="16.5" thickBot="1" x14ac:dyDescent="0.25">
      <c r="A240" s="509" t="str">
        <f>F235</f>
        <v>Total (R$)</v>
      </c>
      <c r="B240" s="497"/>
      <c r="C240" s="286"/>
      <c r="D240" s="257" t="s">
        <v>301</v>
      </c>
      <c r="E240" s="350">
        <f>$B$41</f>
        <v>0.81810000000000005</v>
      </c>
      <c r="F240" s="211">
        <f>(E237+E239)*E240</f>
        <v>99.633483008704189</v>
      </c>
      <c r="K240" s="381"/>
    </row>
    <row r="241" spans="1:11" s="210" customFormat="1" ht="11.25" customHeight="1" thickBot="1" x14ac:dyDescent="0.25">
      <c r="A241" s="98"/>
      <c r="B241" s="98"/>
      <c r="C241" s="98"/>
      <c r="D241" s="130"/>
      <c r="E241" s="130"/>
      <c r="F241" s="130"/>
      <c r="G241" s="209"/>
      <c r="K241" s="383"/>
    </row>
    <row r="242" spans="1:11" ht="16.5" thickBot="1" x14ac:dyDescent="0.25">
      <c r="A242" s="217" t="s">
        <v>216</v>
      </c>
      <c r="B242" s="218"/>
      <c r="C242" s="218"/>
      <c r="D242" s="156"/>
      <c r="E242" s="156"/>
      <c r="F242" s="178">
        <f>+F240</f>
        <v>99.633483008704189</v>
      </c>
      <c r="K242" s="381"/>
    </row>
    <row r="243" spans="1:11" ht="11.25" customHeight="1" thickBot="1" x14ac:dyDescent="0.25"/>
    <row r="244" spans="1:11" ht="17.25" customHeight="1" thickBot="1" x14ac:dyDescent="0.25">
      <c r="A244" s="217" t="s">
        <v>221</v>
      </c>
      <c r="B244" s="271"/>
      <c r="C244" s="271"/>
      <c r="D244" s="272"/>
      <c r="E244" s="272"/>
      <c r="F244" s="219">
        <f>+F106+F140+F219+F231+F242</f>
        <v>30771.805413048245</v>
      </c>
    </row>
    <row r="245" spans="1:11" ht="11.25" customHeight="1" x14ac:dyDescent="0.2"/>
    <row r="246" spans="1:11" x14ac:dyDescent="0.2">
      <c r="A246" s="107" t="s">
        <v>90</v>
      </c>
    </row>
    <row r="247" spans="1:11" ht="11.25" customHeight="1" thickBot="1" x14ac:dyDescent="0.25"/>
    <row r="248" spans="1:11" ht="16.5" thickBot="1" x14ac:dyDescent="0.25">
      <c r="A248" s="166" t="s">
        <v>65</v>
      </c>
      <c r="B248" s="167" t="s">
        <v>66</v>
      </c>
      <c r="C248" s="167" t="s">
        <v>41</v>
      </c>
      <c r="D248" s="168" t="s">
        <v>227</v>
      </c>
      <c r="E248" s="168" t="s">
        <v>67</v>
      </c>
      <c r="F248" s="169" t="s">
        <v>300</v>
      </c>
    </row>
    <row r="249" spans="1:11" x14ac:dyDescent="0.2">
      <c r="A249" s="251" t="s">
        <v>37</v>
      </c>
      <c r="B249" s="37" t="s">
        <v>2</v>
      </c>
      <c r="C249" s="416">
        <f>SUM('4.BDI'!B14:C14)</f>
        <v>0.21820000000000001</v>
      </c>
      <c r="D249" s="171">
        <f>+F244</f>
        <v>30771.805413048245</v>
      </c>
      <c r="E249" s="215">
        <f>C249*D249</f>
        <v>6714.4079411271268</v>
      </c>
      <c r="F249" s="259"/>
    </row>
    <row r="250" spans="1:11" ht="16.5" thickBot="1" x14ac:dyDescent="0.25">
      <c r="A250" s="509" t="str">
        <f>F248</f>
        <v>Total (R$)</v>
      </c>
      <c r="B250" s="497"/>
      <c r="C250" s="497"/>
      <c r="D250" s="497"/>
      <c r="E250" s="497"/>
      <c r="F250" s="268">
        <f>+E249</f>
        <v>6714.4079411271268</v>
      </c>
    </row>
    <row r="251" spans="1:11" ht="11.25" customHeight="1" thickBot="1" x14ac:dyDescent="0.25"/>
    <row r="252" spans="1:11" ht="16.5" thickBot="1" x14ac:dyDescent="0.25">
      <c r="A252" s="217" t="s">
        <v>232</v>
      </c>
      <c r="B252" s="271"/>
      <c r="C252" s="271"/>
      <c r="D252" s="272"/>
      <c r="E252" s="272"/>
      <c r="F252" s="219">
        <f>F250</f>
        <v>6714.4079411271268</v>
      </c>
    </row>
    <row r="253" spans="1:11" x14ac:dyDescent="0.2">
      <c r="A253" s="107"/>
      <c r="B253" s="107"/>
      <c r="C253" s="107"/>
      <c r="D253" s="128"/>
      <c r="E253" s="128"/>
      <c r="F253" s="208"/>
    </row>
    <row r="254" spans="1:11" ht="11.25" customHeight="1" thickBot="1" x14ac:dyDescent="0.25"/>
    <row r="255" spans="1:11" ht="24.75" customHeight="1" thickBot="1" x14ac:dyDescent="0.25">
      <c r="A255" s="217" t="s">
        <v>222</v>
      </c>
      <c r="B255" s="271"/>
      <c r="C255" s="271"/>
      <c r="D255" s="272"/>
      <c r="E255" s="272"/>
      <c r="F255" s="219">
        <f>F244+F252</f>
        <v>37486.213354175372</v>
      </c>
    </row>
    <row r="256" spans="1:11" ht="12.6" customHeight="1" x14ac:dyDescent="0.2">
      <c r="A256" s="107"/>
      <c r="B256" s="107"/>
      <c r="C256" s="107"/>
      <c r="D256" s="128"/>
      <c r="E256" s="128"/>
      <c r="F256" s="128"/>
      <c r="I256" s="360"/>
    </row>
    <row r="257" spans="1:9" ht="16.5" thickBot="1" x14ac:dyDescent="0.25">
      <c r="I257" s="359"/>
    </row>
    <row r="258" spans="1:9" ht="16.149999999999999" customHeight="1" thickBot="1" x14ac:dyDescent="0.25">
      <c r="A258" s="186" t="s">
        <v>215</v>
      </c>
      <c r="B258" s="187"/>
      <c r="C258" s="187"/>
      <c r="D258" s="245">
        <f>SUM('1.7.Destino final'!D246)</f>
        <v>340</v>
      </c>
      <c r="E258" s="189" t="s">
        <v>26</v>
      </c>
      <c r="I258" s="361"/>
    </row>
    <row r="259" spans="1:9" ht="16.5" thickBot="1" x14ac:dyDescent="0.25">
      <c r="I259" s="361"/>
    </row>
    <row r="260" spans="1:9" ht="25.5" customHeight="1" thickBot="1" x14ac:dyDescent="0.25">
      <c r="A260" s="217" t="s">
        <v>71</v>
      </c>
      <c r="B260" s="218"/>
      <c r="C260" s="218"/>
      <c r="D260" s="156"/>
      <c r="E260" s="287" t="s">
        <v>33</v>
      </c>
      <c r="F260" s="288">
        <f>IFERROR(F255/D258,"-")</f>
        <v>110.25356868875109</v>
      </c>
    </row>
    <row r="261" spans="1:9" ht="12.6" customHeight="1" x14ac:dyDescent="0.2">
      <c r="A261" s="107"/>
      <c r="B261" s="107"/>
      <c r="C261" s="107"/>
      <c r="D261" s="128"/>
      <c r="E261" s="128"/>
      <c r="F261" s="128"/>
    </row>
    <row r="262" spans="1:9" ht="9.75" customHeight="1" x14ac:dyDescent="0.2">
      <c r="A262" s="129"/>
      <c r="B262" s="130"/>
      <c r="C262" s="130"/>
    </row>
    <row r="263" spans="1:9" ht="9.75" customHeight="1" x14ac:dyDescent="0.2">
      <c r="A263" s="129"/>
      <c r="B263" s="130"/>
      <c r="C263" s="130"/>
    </row>
    <row r="264" spans="1:9" ht="9.75" customHeight="1" x14ac:dyDescent="0.2">
      <c r="A264" s="129"/>
      <c r="B264" s="130"/>
      <c r="C264" s="130"/>
    </row>
  </sheetData>
  <mergeCells count="51">
    <mergeCell ref="A240:B240"/>
    <mergeCell ref="A250:E250"/>
    <mergeCell ref="A58:D58"/>
    <mergeCell ref="A60:D60"/>
    <mergeCell ref="A79:D79"/>
    <mergeCell ref="A62:C62"/>
    <mergeCell ref="A63:F63"/>
    <mergeCell ref="A64:F64"/>
    <mergeCell ref="A127:F127"/>
    <mergeCell ref="A126:F126"/>
    <mergeCell ref="A81:D81"/>
    <mergeCell ref="A110:F110"/>
    <mergeCell ref="A111:F111"/>
    <mergeCell ref="A107:F107"/>
    <mergeCell ref="A83:C83"/>
    <mergeCell ref="A231:E231"/>
    <mergeCell ref="A43:F43"/>
    <mergeCell ref="A44:F44"/>
    <mergeCell ref="A45:F45"/>
    <mergeCell ref="A42:F42"/>
    <mergeCell ref="A37:D37"/>
    <mergeCell ref="A1:F1"/>
    <mergeCell ref="A2:F2"/>
    <mergeCell ref="A3:F3"/>
    <mergeCell ref="A4:F4"/>
    <mergeCell ref="A5:F5"/>
    <mergeCell ref="A6:F6"/>
    <mergeCell ref="A8:F8"/>
    <mergeCell ref="A16:C16"/>
    <mergeCell ref="A31:E31"/>
    <mergeCell ref="A32:D32"/>
    <mergeCell ref="A160:C160"/>
    <mergeCell ref="A176:C176"/>
    <mergeCell ref="A202:E202"/>
    <mergeCell ref="A207:E207"/>
    <mergeCell ref="A229:B229"/>
    <mergeCell ref="A216:E216"/>
    <mergeCell ref="A84:F84"/>
    <mergeCell ref="A85:F85"/>
    <mergeCell ref="A92:F92"/>
    <mergeCell ref="A93:F93"/>
    <mergeCell ref="A138:C138"/>
    <mergeCell ref="A91:E91"/>
    <mergeCell ref="A104:C104"/>
    <mergeCell ref="A125:C125"/>
    <mergeCell ref="A108:F108"/>
    <mergeCell ref="A109:F109"/>
    <mergeCell ref="A99:F99"/>
    <mergeCell ref="A100:F100"/>
    <mergeCell ref="A98:C98"/>
    <mergeCell ref="A128:F128"/>
  </mergeCells>
  <hyperlinks>
    <hyperlink ref="A162" location="AbaRemun" display="3.1.2. Remuneração do Capital" xr:uid="{00000000-0004-0000-0200-000000000000}"/>
    <hyperlink ref="A146" location="AbaDeprec" display="3.1.1. Depreciação" xr:uid="{00000000-0004-0000-0200-000001000000}"/>
  </hyperlinks>
  <pageMargins left="0.9055118110236221" right="0.51181102362204722" top="0.74803149606299213" bottom="0.74803149606299213" header="0.31496062992125984" footer="0.31496062992125984"/>
  <pageSetup paperSize="9" scale="69" fitToHeight="0" orientation="portrait" r:id="rId1"/>
  <headerFooter alignWithMargins="0">
    <oddFooter>&amp;R&amp;P de &amp;N</oddFooter>
  </headerFooter>
  <rowBreaks count="4" manualBreakCount="4">
    <brk id="42" max="5" man="1"/>
    <brk id="84" max="5" man="1"/>
    <brk id="141" max="5" man="1"/>
    <brk id="20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07D8-13CA-4BBF-826C-5B300992B0DE}">
  <dimension ref="A1:F246"/>
  <sheetViews>
    <sheetView topLeftCell="A217" workbookViewId="0">
      <selection activeCell="D178" sqref="D178"/>
    </sheetView>
  </sheetViews>
  <sheetFormatPr defaultRowHeight="12.75" x14ac:dyDescent="0.2"/>
  <cols>
    <col min="1" max="1" width="54.7109375" customWidth="1"/>
    <col min="2" max="2" width="19" customWidth="1"/>
    <col min="3" max="3" width="19.140625" customWidth="1"/>
    <col min="4" max="4" width="20.7109375" customWidth="1"/>
    <col min="5" max="5" width="20" customWidth="1"/>
    <col min="6" max="6" width="16.28515625" customWidth="1"/>
  </cols>
  <sheetData>
    <row r="1" spans="1:6" ht="15.75" x14ac:dyDescent="0.2">
      <c r="A1" s="466" t="s">
        <v>197</v>
      </c>
      <c r="B1" s="466"/>
      <c r="C1" s="466"/>
      <c r="D1" s="466"/>
      <c r="E1" s="466"/>
      <c r="F1" s="466"/>
    </row>
    <row r="2" spans="1:6" ht="15.75" x14ac:dyDescent="0.2">
      <c r="A2" s="467" t="s">
        <v>298</v>
      </c>
      <c r="B2" s="467"/>
      <c r="C2" s="467"/>
      <c r="D2" s="467"/>
      <c r="E2" s="467"/>
      <c r="F2" s="467"/>
    </row>
    <row r="3" spans="1:6" ht="15.75" x14ac:dyDescent="0.2">
      <c r="A3" s="519" t="s">
        <v>299</v>
      </c>
      <c r="B3" s="519"/>
      <c r="C3" s="519"/>
      <c r="D3" s="519"/>
      <c r="E3" s="519"/>
      <c r="F3" s="519"/>
    </row>
    <row r="4" spans="1:6" ht="16.5" thickBot="1" x14ac:dyDescent="0.25">
      <c r="A4" s="468"/>
      <c r="B4" s="468"/>
      <c r="C4" s="468"/>
      <c r="D4" s="468"/>
      <c r="E4" s="468"/>
      <c r="F4" s="468"/>
    </row>
    <row r="5" spans="1:6" ht="15.75" x14ac:dyDescent="0.2">
      <c r="A5" s="469" t="s">
        <v>557</v>
      </c>
      <c r="B5" s="470"/>
      <c r="C5" s="470"/>
      <c r="D5" s="470"/>
      <c r="E5" s="470"/>
      <c r="F5" s="471"/>
    </row>
    <row r="6" spans="1:6" ht="15.75" x14ac:dyDescent="0.2">
      <c r="A6" s="472" t="s">
        <v>44</v>
      </c>
      <c r="B6" s="473"/>
      <c r="C6" s="473"/>
      <c r="D6" s="473"/>
      <c r="E6" s="473"/>
      <c r="F6" s="474"/>
    </row>
    <row r="7" spans="1:6" ht="16.5" thickBot="1" x14ac:dyDescent="0.25">
      <c r="A7" s="131"/>
      <c r="B7" s="108"/>
      <c r="C7" s="108"/>
      <c r="D7" s="132"/>
      <c r="E7" s="132"/>
      <c r="F7" s="133"/>
    </row>
    <row r="8" spans="1:6" ht="16.5" thickBot="1" x14ac:dyDescent="0.25">
      <c r="A8" s="463" t="s">
        <v>196</v>
      </c>
      <c r="B8" s="464"/>
      <c r="C8" s="464"/>
      <c r="D8" s="464"/>
      <c r="E8" s="464"/>
      <c r="F8" s="465"/>
    </row>
    <row r="9" spans="1:6" ht="15.75" x14ac:dyDescent="0.2">
      <c r="A9" s="134" t="s">
        <v>195</v>
      </c>
      <c r="B9" s="135"/>
      <c r="C9" s="135"/>
      <c r="D9" s="136"/>
      <c r="E9" s="137" t="s">
        <v>39</v>
      </c>
      <c r="F9" s="138" t="s">
        <v>2</v>
      </c>
    </row>
    <row r="10" spans="1:6" ht="15.75" x14ac:dyDescent="0.2">
      <c r="A10" s="139" t="str">
        <f>A43</f>
        <v>1. Mão-de-obra</v>
      </c>
      <c r="B10" s="140"/>
      <c r="C10" s="141"/>
      <c r="D10" s="141"/>
      <c r="E10" s="142">
        <f>SUM(E11:E15)</f>
        <v>18669.411080257687</v>
      </c>
      <c r="F10" s="143">
        <f t="shared" ref="F10:F27" si="0">IFERROR(E10/$E$28,0)</f>
        <v>0.38881608249378025</v>
      </c>
    </row>
    <row r="11" spans="1:6" ht="15.75" x14ac:dyDescent="0.2">
      <c r="A11" s="144" t="str">
        <f>A45</f>
        <v>1.2. Coletor Turno Dia</v>
      </c>
      <c r="B11" s="145"/>
      <c r="C11" s="146"/>
      <c r="D11" s="146"/>
      <c r="E11" s="147">
        <f>F55</f>
        <v>11575.948499388591</v>
      </c>
      <c r="F11" s="148">
        <f t="shared" si="0"/>
        <v>0.24108499873579847</v>
      </c>
    </row>
    <row r="12" spans="1:6" ht="15.75" x14ac:dyDescent="0.2">
      <c r="A12" s="144" t="str">
        <f>A57</f>
        <v>1.4. Motorista Turno do Dia</v>
      </c>
      <c r="B12" s="145"/>
      <c r="C12" s="146"/>
      <c r="D12" s="146"/>
      <c r="E12" s="147">
        <f>F69</f>
        <v>5436.4452985819989</v>
      </c>
      <c r="F12" s="148">
        <f t="shared" si="0"/>
        <v>0.11322142699625032</v>
      </c>
    </row>
    <row r="13" spans="1:6" ht="15.75" x14ac:dyDescent="0.2">
      <c r="A13" s="144" t="str">
        <f>A71</f>
        <v>1.7. Vale Transporte</v>
      </c>
      <c r="B13" s="145"/>
      <c r="C13" s="146"/>
      <c r="D13" s="146"/>
      <c r="E13" s="147">
        <f>F77</f>
        <v>364.05930919310515</v>
      </c>
      <c r="F13" s="148">
        <f t="shared" si="0"/>
        <v>7.5820342584636711E-3</v>
      </c>
    </row>
    <row r="14" spans="1:6" ht="15.75" x14ac:dyDescent="0.2">
      <c r="A14" s="144" t="str">
        <f>A79</f>
        <v>1.8. Vale-refeição (diário)</v>
      </c>
      <c r="B14" s="145"/>
      <c r="C14" s="146"/>
      <c r="D14" s="146"/>
      <c r="E14" s="147">
        <f>F84</f>
        <v>1179.8399999999999</v>
      </c>
      <c r="F14" s="148">
        <f t="shared" si="0"/>
        <v>2.4571785622877283E-2</v>
      </c>
    </row>
    <row r="15" spans="1:6" ht="15.75" x14ac:dyDescent="0.2">
      <c r="A15" s="144" t="str">
        <f>A86</f>
        <v>1.9. Auxílio Alimentação (mensal)</v>
      </c>
      <c r="B15" s="145"/>
      <c r="C15" s="146"/>
      <c r="D15" s="146"/>
      <c r="E15" s="147">
        <f>F90</f>
        <v>113.11797309399398</v>
      </c>
      <c r="F15" s="148">
        <f t="shared" si="0"/>
        <v>2.3558368803905791E-3</v>
      </c>
    </row>
    <row r="16" spans="1:6" ht="15.75" x14ac:dyDescent="0.2">
      <c r="A16" s="512" t="str">
        <f>A94</f>
        <v>2. Uniformes e Equipamentos de Proteção Individual</v>
      </c>
      <c r="B16" s="513"/>
      <c r="C16" s="513"/>
      <c r="D16" s="141"/>
      <c r="E16" s="142">
        <f>+F126</f>
        <v>693.19166666666661</v>
      </c>
      <c r="F16" s="143">
        <f t="shared" si="0"/>
        <v>1.4436666860674619E-2</v>
      </c>
    </row>
    <row r="17" spans="1:6" ht="15.75" x14ac:dyDescent="0.2">
      <c r="A17" s="149" t="str">
        <f>A128</f>
        <v>3. Veículos e Equipamentos</v>
      </c>
      <c r="B17" s="150"/>
      <c r="C17" s="141"/>
      <c r="D17" s="141"/>
      <c r="E17" s="142">
        <f>E18</f>
        <v>19857.791319220909</v>
      </c>
      <c r="F17" s="143">
        <f t="shared" si="0"/>
        <v>0.4135657303021848</v>
      </c>
    </row>
    <row r="18" spans="1:6" ht="15.75" x14ac:dyDescent="0.2">
      <c r="A18" s="151" t="str">
        <f>A130</f>
        <v>3.2. Veículo Coletor Compactador 15 m³ (mínimo)</v>
      </c>
      <c r="B18" s="152"/>
      <c r="C18" s="146"/>
      <c r="D18" s="146"/>
      <c r="E18" s="147">
        <f>SUM(E19:E24)</f>
        <v>19857.791319220909</v>
      </c>
      <c r="F18" s="148">
        <f t="shared" si="0"/>
        <v>0.4135657303021848</v>
      </c>
    </row>
    <row r="19" spans="1:6" ht="15.75" x14ac:dyDescent="0.2">
      <c r="A19" s="151" t="str">
        <f>A132</f>
        <v>3.2.1. Depreciação</v>
      </c>
      <c r="B19" s="152"/>
      <c r="C19" s="146"/>
      <c r="D19" s="146"/>
      <c r="E19" s="147">
        <f>F146</f>
        <v>5578.4132711411767</v>
      </c>
      <c r="F19" s="148">
        <f t="shared" si="0"/>
        <v>0.11617810467037447</v>
      </c>
    </row>
    <row r="20" spans="1:6" ht="15.75" x14ac:dyDescent="0.2">
      <c r="A20" s="151" t="str">
        <f>A148</f>
        <v>3.2.2. Remuneração do Capital</v>
      </c>
      <c r="B20" s="152"/>
      <c r="C20" s="146"/>
      <c r="D20" s="146"/>
      <c r="E20" s="147">
        <f>F162</f>
        <v>3431.3246156338896</v>
      </c>
      <c r="F20" s="148">
        <f t="shared" si="0"/>
        <v>7.1462039647628262E-2</v>
      </c>
    </row>
    <row r="21" spans="1:6" ht="15.75" x14ac:dyDescent="0.2">
      <c r="A21" s="151" t="str">
        <f>A164</f>
        <v>3.2.3. Impostos e Seguros</v>
      </c>
      <c r="B21" s="152"/>
      <c r="C21" s="146"/>
      <c r="D21" s="146"/>
      <c r="E21" s="147">
        <f>F170</f>
        <v>652.654267291613</v>
      </c>
      <c r="F21" s="148">
        <f t="shared" si="0"/>
        <v>1.3592419939776211E-2</v>
      </c>
    </row>
    <row r="22" spans="1:6" ht="15.75" x14ac:dyDescent="0.2">
      <c r="A22" s="151" t="str">
        <f>A172</f>
        <v>3.2.4. Consumos</v>
      </c>
      <c r="B22" s="152"/>
      <c r="C22" s="146"/>
      <c r="D22" s="146"/>
      <c r="E22" s="147">
        <f>F188</f>
        <v>8033.6820616405748</v>
      </c>
      <c r="F22" s="148">
        <f t="shared" si="0"/>
        <v>0.16731244353555313</v>
      </c>
    </row>
    <row r="23" spans="1:6" ht="15.75" x14ac:dyDescent="0.2">
      <c r="A23" s="151" t="str">
        <f>A190</f>
        <v>3.2.5. Manutenção</v>
      </c>
      <c r="B23" s="152"/>
      <c r="C23" s="146"/>
      <c r="D23" s="146"/>
      <c r="E23" s="147">
        <f>F193</f>
        <v>1545.12</v>
      </c>
      <c r="F23" s="148">
        <f t="shared" si="0"/>
        <v>3.2179242441026025E-2</v>
      </c>
    </row>
    <row r="24" spans="1:6" ht="15.75" x14ac:dyDescent="0.2">
      <c r="A24" s="151" t="str">
        <f>A195</f>
        <v>3.2.6. Pneus</v>
      </c>
      <c r="B24" s="152"/>
      <c r="C24" s="146"/>
      <c r="D24" s="146"/>
      <c r="E24" s="147">
        <f>F202</f>
        <v>616.59710351365766</v>
      </c>
      <c r="F24" s="148">
        <f t="shared" si="0"/>
        <v>1.2841480067826714E-2</v>
      </c>
    </row>
    <row r="25" spans="1:6" ht="15.75" x14ac:dyDescent="0.2">
      <c r="A25" s="149" t="str">
        <f>A207</f>
        <v>4. Ferramentas e Materiais de Consumo</v>
      </c>
      <c r="B25" s="150"/>
      <c r="C25" s="141"/>
      <c r="D25" s="141"/>
      <c r="E25" s="142">
        <f>+F217</f>
        <v>73.388745466598635</v>
      </c>
      <c r="F25" s="143">
        <f t="shared" si="0"/>
        <v>1.5284212441832527E-3</v>
      </c>
    </row>
    <row r="26" spans="1:6" ht="15.75" x14ac:dyDescent="0.2">
      <c r="A26" s="149" t="str">
        <f>A219</f>
        <v>5. Monitoramento da Frota</v>
      </c>
      <c r="B26" s="150"/>
      <c r="C26" s="141"/>
      <c r="D26" s="141"/>
      <c r="E26" s="142">
        <f>+F228</f>
        <v>121.78643565420387</v>
      </c>
      <c r="F26" s="143">
        <f t="shared" si="0"/>
        <v>2.5363694981263871E-3</v>
      </c>
    </row>
    <row r="27" spans="1:6" ht="16.5" thickBot="1" x14ac:dyDescent="0.25">
      <c r="A27" s="149" t="str">
        <f>A232</f>
        <v>6. Benefícios e Despesas Indiretas - BDI</v>
      </c>
      <c r="B27" s="150"/>
      <c r="C27" s="141"/>
      <c r="D27" s="141"/>
      <c r="E27" s="153">
        <f>+F238</f>
        <v>8600.4772097534551</v>
      </c>
      <c r="F27" s="143">
        <f t="shared" si="0"/>
        <v>0.17911672960105074</v>
      </c>
    </row>
    <row r="28" spans="1:6" ht="16.5" thickBot="1" x14ac:dyDescent="0.25">
      <c r="A28" s="154" t="s">
        <v>231</v>
      </c>
      <c r="B28" s="155"/>
      <c r="C28" s="156"/>
      <c r="D28" s="156"/>
      <c r="E28" s="157">
        <f>E10+E16+E17+E25+E26+E27</f>
        <v>48016.046457019518</v>
      </c>
      <c r="F28" s="158">
        <f>F10+F16+F17+F25+F26+F27</f>
        <v>1</v>
      </c>
    </row>
    <row r="29" spans="1:6" ht="15.75" x14ac:dyDescent="0.2">
      <c r="A29" s="98"/>
      <c r="B29" s="98"/>
      <c r="C29" s="98"/>
      <c r="D29" s="130"/>
      <c r="E29" s="130"/>
      <c r="F29" s="130"/>
    </row>
    <row r="30" spans="1:6" ht="16.5" thickBot="1" x14ac:dyDescent="0.25">
      <c r="A30" s="98"/>
      <c r="B30" s="98"/>
      <c r="C30" s="98"/>
      <c r="D30" s="130"/>
      <c r="E30" s="130"/>
      <c r="F30" s="130"/>
    </row>
    <row r="31" spans="1:6" ht="15.75" x14ac:dyDescent="0.2">
      <c r="A31" s="514" t="s">
        <v>95</v>
      </c>
      <c r="B31" s="515"/>
      <c r="C31" s="515"/>
      <c r="D31" s="515"/>
      <c r="E31" s="516"/>
      <c r="F31" s="130"/>
    </row>
    <row r="32" spans="1:6" ht="15.75" x14ac:dyDescent="0.2">
      <c r="A32" s="517" t="s">
        <v>40</v>
      </c>
      <c r="B32" s="518"/>
      <c r="C32" s="518"/>
      <c r="D32" s="518"/>
      <c r="E32" s="302" t="s">
        <v>41</v>
      </c>
      <c r="F32" s="130"/>
    </row>
    <row r="33" spans="1:6" ht="15.75" x14ac:dyDescent="0.2">
      <c r="A33" s="293" t="str">
        <f>+A45</f>
        <v>1.2. Coletor Turno Dia</v>
      </c>
      <c r="B33" s="177"/>
      <c r="C33" s="177"/>
      <c r="D33" s="32"/>
      <c r="E33" s="159">
        <v>2</v>
      </c>
      <c r="F33" s="130"/>
    </row>
    <row r="34" spans="1:6" ht="15.75" x14ac:dyDescent="0.2">
      <c r="A34" s="293" t="str">
        <f>+A57</f>
        <v>1.4. Motorista Turno do Dia</v>
      </c>
      <c r="B34" s="177"/>
      <c r="C34" s="177"/>
      <c r="D34" s="32"/>
      <c r="E34" s="159">
        <f>C68</f>
        <v>1</v>
      </c>
      <c r="F34" s="130"/>
    </row>
    <row r="35" spans="1:6" ht="15.75" x14ac:dyDescent="0.2">
      <c r="A35" s="294" t="s">
        <v>60</v>
      </c>
      <c r="B35" s="292"/>
      <c r="C35" s="292"/>
      <c r="D35" s="32"/>
      <c r="E35" s="295">
        <f>SUM(E33:E34)</f>
        <v>3</v>
      </c>
      <c r="F35" s="130"/>
    </row>
    <row r="36" spans="1:6" ht="15.75" x14ac:dyDescent="0.2">
      <c r="A36" s="294"/>
      <c r="B36" s="292"/>
      <c r="C36" s="177"/>
      <c r="D36" s="177"/>
      <c r="E36" s="296"/>
      <c r="F36" s="130"/>
    </row>
    <row r="37" spans="1:6" ht="15.75" x14ac:dyDescent="0.2">
      <c r="A37" s="521" t="s">
        <v>57</v>
      </c>
      <c r="B37" s="522"/>
      <c r="C37" s="522"/>
      <c r="D37" s="522"/>
      <c r="E37" s="302" t="s">
        <v>41</v>
      </c>
      <c r="F37" s="98"/>
    </row>
    <row r="38" spans="1:6" ht="16.5" thickBot="1" x14ac:dyDescent="0.25">
      <c r="A38" s="297" t="str">
        <f>+A130</f>
        <v>3.2. Veículo Coletor Compactador 15 m³ (mínimo)</v>
      </c>
      <c r="B38" s="298"/>
      <c r="C38" s="298"/>
      <c r="D38" s="111"/>
      <c r="E38" s="161">
        <v>1</v>
      </c>
      <c r="F38" s="98"/>
    </row>
    <row r="39" spans="1:6" ht="15.75" x14ac:dyDescent="0.2">
      <c r="A39" s="160"/>
      <c r="B39" s="160"/>
      <c r="C39" s="160"/>
      <c r="D39" s="98"/>
      <c r="E39" s="162"/>
      <c r="F39" s="98"/>
    </row>
    <row r="40" spans="1:6" ht="16.5" thickBot="1" x14ac:dyDescent="0.25">
      <c r="A40" s="160"/>
      <c r="B40" s="160"/>
      <c r="C40" s="160"/>
      <c r="D40" s="98"/>
      <c r="E40" s="163"/>
      <c r="F40" s="98"/>
    </row>
    <row r="41" spans="1:6" ht="16.5" thickBot="1" x14ac:dyDescent="0.25">
      <c r="A41" s="164" t="s">
        <v>352</v>
      </c>
      <c r="B41" s="346">
        <v>1</v>
      </c>
      <c r="C41" s="128"/>
      <c r="D41" s="107"/>
      <c r="E41" s="165"/>
      <c r="F41" s="107"/>
    </row>
    <row r="42" spans="1:6" ht="15.75" x14ac:dyDescent="0.2">
      <c r="A42" s="520"/>
      <c r="B42" s="520"/>
      <c r="C42" s="520"/>
      <c r="D42" s="520"/>
      <c r="E42" s="520"/>
      <c r="F42" s="520"/>
    </row>
    <row r="43" spans="1:6" ht="15.75" x14ac:dyDescent="0.2">
      <c r="A43" s="505" t="s">
        <v>48</v>
      </c>
      <c r="B43" s="505"/>
      <c r="C43" s="505"/>
      <c r="D43" s="505"/>
      <c r="E43" s="505"/>
      <c r="F43" s="505"/>
    </row>
    <row r="44" spans="1:6" ht="15.75" x14ac:dyDescent="0.2">
      <c r="A44" s="467"/>
      <c r="B44" s="467"/>
      <c r="C44" s="467"/>
      <c r="D44" s="467"/>
      <c r="E44" s="467"/>
      <c r="F44" s="467"/>
    </row>
    <row r="45" spans="1:6" ht="16.5" thickBot="1" x14ac:dyDescent="0.25">
      <c r="A45" s="495" t="s">
        <v>522</v>
      </c>
      <c r="B45" s="495"/>
      <c r="C45" s="495"/>
      <c r="D45" s="495"/>
      <c r="E45" s="495"/>
      <c r="F45" s="495"/>
    </row>
    <row r="46" spans="1:6" ht="16.5" thickBot="1" x14ac:dyDescent="0.25">
      <c r="A46" s="166" t="s">
        <v>65</v>
      </c>
      <c r="B46" s="167" t="s">
        <v>66</v>
      </c>
      <c r="C46" s="167" t="s">
        <v>41</v>
      </c>
      <c r="D46" s="168" t="s">
        <v>227</v>
      </c>
      <c r="E46" s="168" t="s">
        <v>67</v>
      </c>
      <c r="F46" s="169" t="s">
        <v>300</v>
      </c>
    </row>
    <row r="47" spans="1:6" ht="15.75" x14ac:dyDescent="0.2">
      <c r="A47" s="251" t="s">
        <v>206</v>
      </c>
      <c r="B47" s="37" t="s">
        <v>7</v>
      </c>
      <c r="C47" s="37">
        <v>1</v>
      </c>
      <c r="D47" s="370">
        <v>1687.48</v>
      </c>
      <c r="E47" s="171">
        <f>C47*D47</f>
        <v>1687.48</v>
      </c>
      <c r="F47" s="252"/>
    </row>
    <row r="48" spans="1:6" ht="15.75" x14ac:dyDescent="0.2">
      <c r="A48" s="31" t="s">
        <v>35</v>
      </c>
      <c r="B48" s="25" t="s">
        <v>0</v>
      </c>
      <c r="C48" s="172">
        <v>36.36</v>
      </c>
      <c r="D48" s="173">
        <f>D47/220*2</f>
        <v>15.340727272727273</v>
      </c>
      <c r="E48" s="173">
        <f>C48*D48</f>
        <v>557.78884363636359</v>
      </c>
      <c r="F48" s="252"/>
    </row>
    <row r="49" spans="1:6" ht="15.75" x14ac:dyDescent="0.2">
      <c r="A49" s="31" t="s">
        <v>212</v>
      </c>
      <c r="B49" s="25" t="s">
        <v>34</v>
      </c>
      <c r="C49" s="98"/>
      <c r="D49" s="173">
        <f>63/302*(SUM(E48:E48))</f>
        <v>116.35992433473811</v>
      </c>
      <c r="E49" s="173">
        <f>D49</f>
        <v>116.35992433473811</v>
      </c>
      <c r="F49" s="252"/>
    </row>
    <row r="50" spans="1:6" ht="15.75" x14ac:dyDescent="0.2">
      <c r="A50" s="31" t="s">
        <v>1</v>
      </c>
      <c r="B50" s="25" t="s">
        <v>2</v>
      </c>
      <c r="C50" s="25">
        <v>40</v>
      </c>
      <c r="D50" s="174">
        <f>SUM(E47:E49)</f>
        <v>2361.6287679711018</v>
      </c>
      <c r="E50" s="173">
        <f>C50*D50/100</f>
        <v>944.65150718844075</v>
      </c>
      <c r="F50" s="252"/>
    </row>
    <row r="51" spans="1:6" ht="15.75" x14ac:dyDescent="0.2">
      <c r="A51" s="523" t="s">
        <v>302</v>
      </c>
      <c r="B51" s="524"/>
      <c r="C51" s="524"/>
      <c r="D51" s="525"/>
      <c r="E51" s="175">
        <f>SUM(E47:E50)</f>
        <v>3306.2802751595427</v>
      </c>
      <c r="F51" s="252"/>
    </row>
    <row r="52" spans="1:6" ht="15.75" x14ac:dyDescent="0.2">
      <c r="A52" s="31" t="s">
        <v>3</v>
      </c>
      <c r="B52" s="25" t="s">
        <v>2</v>
      </c>
      <c r="C52" s="176">
        <f>'2.Encargos Sociais'!$C$34*100</f>
        <v>75.06</v>
      </c>
      <c r="D52" s="173">
        <f>E51</f>
        <v>3306.2802751595427</v>
      </c>
      <c r="E52" s="173">
        <f>D52*C52/100</f>
        <v>2481.6939745347527</v>
      </c>
      <c r="F52" s="252"/>
    </row>
    <row r="53" spans="1:6" ht="15.75" x14ac:dyDescent="0.2">
      <c r="A53" s="523" t="s">
        <v>303</v>
      </c>
      <c r="B53" s="530"/>
      <c r="C53" s="530"/>
      <c r="D53" s="531"/>
      <c r="E53" s="175">
        <f>E51+E52</f>
        <v>5787.9742496942954</v>
      </c>
      <c r="F53" s="252"/>
    </row>
    <row r="54" spans="1:6" ht="15.75" x14ac:dyDescent="0.2">
      <c r="A54" s="253" t="s">
        <v>4</v>
      </c>
      <c r="B54" s="254" t="s">
        <v>5</v>
      </c>
      <c r="C54" s="255">
        <v>2</v>
      </c>
      <c r="D54" s="173">
        <f>E53</f>
        <v>5787.9742496942954</v>
      </c>
      <c r="E54" s="173">
        <f>C54*D54</f>
        <v>11575.948499388591</v>
      </c>
      <c r="F54" s="252"/>
    </row>
    <row r="55" spans="1:6" ht="16.5" thickBot="1" x14ac:dyDescent="0.25">
      <c r="A55" s="499" t="s">
        <v>300</v>
      </c>
      <c r="B55" s="500"/>
      <c r="C55" s="501"/>
      <c r="D55" s="256" t="s">
        <v>301</v>
      </c>
      <c r="E55" s="349">
        <f>$B$41</f>
        <v>1</v>
      </c>
      <c r="F55" s="211">
        <f>E54*E55</f>
        <v>11575.948499388591</v>
      </c>
    </row>
    <row r="56" spans="1:6" ht="15.75" x14ac:dyDescent="0.2">
      <c r="A56" s="467"/>
      <c r="B56" s="467"/>
      <c r="C56" s="467"/>
      <c r="D56" s="467"/>
      <c r="E56" s="467"/>
      <c r="F56" s="467"/>
    </row>
    <row r="57" spans="1:6" ht="16.5" thickBot="1" x14ac:dyDescent="0.25">
      <c r="A57" s="495" t="s">
        <v>524</v>
      </c>
      <c r="B57" s="495"/>
      <c r="C57" s="495"/>
      <c r="D57" s="495"/>
      <c r="E57" s="495"/>
      <c r="F57" s="495"/>
    </row>
    <row r="58" spans="1:6" ht="16.5" thickBot="1" x14ac:dyDescent="0.25">
      <c r="A58" s="166" t="s">
        <v>65</v>
      </c>
      <c r="B58" s="167" t="s">
        <v>66</v>
      </c>
      <c r="C58" s="167" t="s">
        <v>41</v>
      </c>
      <c r="D58" s="168" t="s">
        <v>227</v>
      </c>
      <c r="E58" s="168" t="s">
        <v>67</v>
      </c>
      <c r="F58" s="169" t="s">
        <v>300</v>
      </c>
    </row>
    <row r="59" spans="1:6" ht="15.75" x14ac:dyDescent="0.2">
      <c r="A59" s="251" t="s">
        <v>209</v>
      </c>
      <c r="B59" s="37" t="s">
        <v>7</v>
      </c>
      <c r="C59" s="37">
        <v>1</v>
      </c>
      <c r="D59" s="370">
        <v>2030.35</v>
      </c>
      <c r="E59" s="171">
        <f>C59*D59</f>
        <v>2030.35</v>
      </c>
      <c r="F59" s="252"/>
    </row>
    <row r="60" spans="1:6" ht="15.75" x14ac:dyDescent="0.2">
      <c r="A60" s="251" t="s">
        <v>210</v>
      </c>
      <c r="B60" s="37" t="s">
        <v>7</v>
      </c>
      <c r="C60" s="37">
        <v>1</v>
      </c>
      <c r="D60" s="370">
        <v>1320</v>
      </c>
      <c r="E60" s="171"/>
      <c r="F60" s="252"/>
    </row>
    <row r="61" spans="1:6" ht="15.75" x14ac:dyDescent="0.2">
      <c r="A61" s="31" t="s">
        <v>35</v>
      </c>
      <c r="B61" s="25" t="s">
        <v>0</v>
      </c>
      <c r="C61" s="172">
        <v>36.36</v>
      </c>
      <c r="D61" s="173">
        <f>D59/220*2</f>
        <v>18.457727272727272</v>
      </c>
      <c r="E61" s="173">
        <f>C61*D61</f>
        <v>671.12296363636358</v>
      </c>
      <c r="F61" s="252"/>
    </row>
    <row r="62" spans="1:6" ht="15.75" x14ac:dyDescent="0.2">
      <c r="A62" s="31" t="s">
        <v>212</v>
      </c>
      <c r="B62" s="25" t="s">
        <v>34</v>
      </c>
      <c r="C62" s="98"/>
      <c r="D62" s="173">
        <f>63/302*(SUM(E61:E61))</f>
        <v>140.00247254665862</v>
      </c>
      <c r="E62" s="173">
        <f>D62</f>
        <v>140.00247254665862</v>
      </c>
      <c r="F62" s="252"/>
    </row>
    <row r="63" spans="1:6" ht="15.75" x14ac:dyDescent="0.2">
      <c r="A63" s="31" t="s">
        <v>208</v>
      </c>
      <c r="B63" s="25"/>
      <c r="C63" s="180">
        <v>1</v>
      </c>
      <c r="D63" s="173"/>
      <c r="E63" s="173"/>
      <c r="F63" s="252"/>
    </row>
    <row r="64" spans="1:6" ht="15.75" x14ac:dyDescent="0.2">
      <c r="A64" s="31" t="s">
        <v>1</v>
      </c>
      <c r="B64" s="25" t="s">
        <v>2</v>
      </c>
      <c r="C64" s="454">
        <v>20</v>
      </c>
      <c r="D64" s="174">
        <f>IF(C63=2,SUM(E59:E60),IF(C63=1,(SUM(E59:E60))*D60/D59,0))</f>
        <v>1320</v>
      </c>
      <c r="E64" s="173">
        <f>C64*D64/100</f>
        <v>264</v>
      </c>
      <c r="F64" s="252"/>
    </row>
    <row r="65" spans="1:6" ht="15.75" x14ac:dyDescent="0.2">
      <c r="A65" s="523" t="s">
        <v>302</v>
      </c>
      <c r="B65" s="524"/>
      <c r="C65" s="524"/>
      <c r="D65" s="525"/>
      <c r="E65" s="181">
        <f>SUM(E59:E64)</f>
        <v>3105.4754361830223</v>
      </c>
      <c r="F65" s="258"/>
    </row>
    <row r="66" spans="1:6" ht="15.75" x14ac:dyDescent="0.2">
      <c r="A66" s="31" t="s">
        <v>3</v>
      </c>
      <c r="B66" s="25" t="s">
        <v>2</v>
      </c>
      <c r="C66" s="176">
        <f>'2.Encargos Sociais'!$C$34*100</f>
        <v>75.06</v>
      </c>
      <c r="D66" s="173">
        <f>E65</f>
        <v>3105.4754361830223</v>
      </c>
      <c r="E66" s="173">
        <f>D66*C66/100</f>
        <v>2330.9698623989766</v>
      </c>
      <c r="F66" s="252"/>
    </row>
    <row r="67" spans="1:6" ht="15.75" x14ac:dyDescent="0.2">
      <c r="A67" s="523" t="s">
        <v>305</v>
      </c>
      <c r="B67" s="524"/>
      <c r="C67" s="524"/>
      <c r="D67" s="525"/>
      <c r="E67" s="181">
        <f>E65+E66</f>
        <v>5436.4452985819989</v>
      </c>
      <c r="F67" s="258"/>
    </row>
    <row r="68" spans="1:6" ht="15.75" x14ac:dyDescent="0.2">
      <c r="A68" s="31" t="s">
        <v>4</v>
      </c>
      <c r="B68" s="25" t="s">
        <v>5</v>
      </c>
      <c r="C68" s="30">
        <v>1</v>
      </c>
      <c r="D68" s="173">
        <f>E67</f>
        <v>5436.4452985819989</v>
      </c>
      <c r="E68" s="173">
        <f>C68*D68</f>
        <v>5436.4452985819989</v>
      </c>
      <c r="F68" s="252"/>
    </row>
    <row r="69" spans="1:6" ht="16.5" thickBot="1" x14ac:dyDescent="0.25">
      <c r="A69" s="499" t="s">
        <v>300</v>
      </c>
      <c r="B69" s="500"/>
      <c r="C69" s="501"/>
      <c r="D69" s="257" t="s">
        <v>301</v>
      </c>
      <c r="E69" s="349">
        <f>$B$41</f>
        <v>1</v>
      </c>
      <c r="F69" s="211">
        <f>E68*E69</f>
        <v>5436.4452985819989</v>
      </c>
    </row>
    <row r="70" spans="1:6" ht="15.75" x14ac:dyDescent="0.2">
      <c r="A70" s="467"/>
      <c r="B70" s="467"/>
      <c r="C70" s="467"/>
      <c r="D70" s="467"/>
      <c r="E70" s="467"/>
      <c r="F70" s="467"/>
    </row>
    <row r="71" spans="1:6" ht="16.5" thickBot="1" x14ac:dyDescent="0.25">
      <c r="A71" s="495" t="s">
        <v>417</v>
      </c>
      <c r="B71" s="495"/>
      <c r="C71" s="495"/>
      <c r="D71" s="495"/>
      <c r="E71" s="495"/>
      <c r="F71" s="495"/>
    </row>
    <row r="72" spans="1:6" ht="16.5" thickBot="1" x14ac:dyDescent="0.25">
      <c r="A72" s="166" t="s">
        <v>65</v>
      </c>
      <c r="B72" s="167" t="s">
        <v>66</v>
      </c>
      <c r="C72" s="167" t="s">
        <v>41</v>
      </c>
      <c r="D72" s="168" t="s">
        <v>227</v>
      </c>
      <c r="E72" s="168" t="s">
        <v>67</v>
      </c>
      <c r="F72" s="169" t="s">
        <v>300</v>
      </c>
    </row>
    <row r="73" spans="1:6" ht="15.75" x14ac:dyDescent="0.2">
      <c r="A73" s="31" t="s">
        <v>91</v>
      </c>
      <c r="B73" s="25" t="s">
        <v>34</v>
      </c>
      <c r="C73" s="182">
        <v>1</v>
      </c>
      <c r="D73" s="372">
        <v>4.7804021471743408</v>
      </c>
      <c r="E73" s="214"/>
      <c r="F73" s="259"/>
    </row>
    <row r="74" spans="1:6" ht="15.75" x14ac:dyDescent="0.2">
      <c r="A74" s="31" t="s">
        <v>92</v>
      </c>
      <c r="B74" s="25" t="s">
        <v>93</v>
      </c>
      <c r="C74" s="263">
        <v>24</v>
      </c>
      <c r="D74" s="173"/>
      <c r="E74" s="214"/>
      <c r="F74" s="260"/>
    </row>
    <row r="75" spans="1:6" ht="15.75" x14ac:dyDescent="0.2">
      <c r="A75" s="31" t="s">
        <v>74</v>
      </c>
      <c r="B75" s="25" t="s">
        <v>8</v>
      </c>
      <c r="C75" s="183">
        <f>$C$74*2*(C54)</f>
        <v>96</v>
      </c>
      <c r="D75" s="171">
        <f>IFERROR((($C$74*2*$D$73)-(E47*0.06))/($C$74*2),"-")</f>
        <v>2.6710521471743411</v>
      </c>
      <c r="E75" s="214">
        <f>IFERROR(C75*D75,"-")</f>
        <v>256.42100612873674</v>
      </c>
      <c r="F75" s="260"/>
    </row>
    <row r="76" spans="1:6" ht="15.75" x14ac:dyDescent="0.2">
      <c r="A76" s="251" t="s">
        <v>45</v>
      </c>
      <c r="B76" s="37" t="s">
        <v>8</v>
      </c>
      <c r="C76" s="183">
        <f>$C$74*2*(C68)</f>
        <v>48</v>
      </c>
      <c r="D76" s="171">
        <f>IFERROR((($C$74*2*$D$73)-(E59*0.06))/($C$74*2),"-")</f>
        <v>2.2424646471743412</v>
      </c>
      <c r="E76" s="215">
        <f>IFERROR(C76*D76,"-")</f>
        <v>107.63830306436839</v>
      </c>
      <c r="F76" s="260"/>
    </row>
    <row r="77" spans="1:6" ht="16.5" thickBot="1" x14ac:dyDescent="0.25">
      <c r="A77" s="499" t="s">
        <v>300</v>
      </c>
      <c r="B77" s="500"/>
      <c r="C77" s="500"/>
      <c r="D77" s="500"/>
      <c r="E77" s="501"/>
      <c r="F77" s="264">
        <f>SUM(E75:E76)</f>
        <v>364.05930919310515</v>
      </c>
    </row>
    <row r="78" spans="1:6" ht="15.75" x14ac:dyDescent="0.2">
      <c r="A78" s="467"/>
      <c r="B78" s="467"/>
      <c r="C78" s="467"/>
      <c r="D78" s="467"/>
      <c r="E78" s="467"/>
      <c r="F78" s="467"/>
    </row>
    <row r="79" spans="1:6" ht="16.5" thickBot="1" x14ac:dyDescent="0.25">
      <c r="A79" s="495" t="s">
        <v>418</v>
      </c>
      <c r="B79" s="495"/>
      <c r="C79" s="495"/>
      <c r="D79" s="495"/>
      <c r="E79" s="495"/>
      <c r="F79" s="495"/>
    </row>
    <row r="80" spans="1:6" ht="16.5" thickBot="1" x14ac:dyDescent="0.25">
      <c r="A80" s="166" t="s">
        <v>65</v>
      </c>
      <c r="B80" s="167" t="s">
        <v>66</v>
      </c>
      <c r="C80" s="167" t="s">
        <v>41</v>
      </c>
      <c r="D80" s="168" t="s">
        <v>227</v>
      </c>
      <c r="E80" s="168" t="s">
        <v>67</v>
      </c>
      <c r="F80" s="169" t="s">
        <v>300</v>
      </c>
    </row>
    <row r="81" spans="1:6" ht="15.75" x14ac:dyDescent="0.2">
      <c r="A81" s="31" t="str">
        <f>+A75</f>
        <v>Coletor</v>
      </c>
      <c r="B81" s="25" t="s">
        <v>9</v>
      </c>
      <c r="C81" s="184">
        <f>C74*(E33)</f>
        <v>48</v>
      </c>
      <c r="D81" s="185">
        <v>18.2</v>
      </c>
      <c r="E81" s="216">
        <f>C81*D81</f>
        <v>873.59999999999991</v>
      </c>
      <c r="F81" s="265"/>
    </row>
    <row r="82" spans="1:6" ht="15.75" x14ac:dyDescent="0.2">
      <c r="A82" s="31" t="str">
        <f>+A76</f>
        <v>Motorista</v>
      </c>
      <c r="B82" s="254" t="s">
        <v>9</v>
      </c>
      <c r="C82" s="351">
        <f>C74*(E34)</f>
        <v>24</v>
      </c>
      <c r="D82" s="457">
        <v>12.76</v>
      </c>
      <c r="E82" s="352">
        <f>C82*D82</f>
        <v>306.24</v>
      </c>
      <c r="F82" s="261"/>
    </row>
    <row r="83" spans="1:6" ht="15.75" x14ac:dyDescent="0.2">
      <c r="A83" s="31" t="s">
        <v>4</v>
      </c>
      <c r="B83" s="355"/>
      <c r="C83" s="355"/>
      <c r="D83" s="355"/>
      <c r="E83" s="356">
        <f>SUM(E81:E82)</f>
        <v>1179.8399999999999</v>
      </c>
      <c r="F83" s="357"/>
    </row>
    <row r="84" spans="1:6" ht="16.5" thickBot="1" x14ac:dyDescent="0.25">
      <c r="A84" s="499" t="s">
        <v>300</v>
      </c>
      <c r="B84" s="503"/>
      <c r="C84" s="504"/>
      <c r="D84" s="353" t="s">
        <v>301</v>
      </c>
      <c r="E84" s="354">
        <f>$B$41</f>
        <v>1</v>
      </c>
      <c r="F84" s="211">
        <f>E83*E84</f>
        <v>1179.8399999999999</v>
      </c>
    </row>
    <row r="85" spans="1:6" ht="15.75" x14ac:dyDescent="0.2">
      <c r="A85" s="467"/>
      <c r="B85" s="467"/>
      <c r="C85" s="467"/>
      <c r="D85" s="467"/>
      <c r="E85" s="467"/>
      <c r="F85" s="467"/>
    </row>
    <row r="86" spans="1:6" ht="16.5" thickBot="1" x14ac:dyDescent="0.25">
      <c r="A86" s="495" t="s">
        <v>419</v>
      </c>
      <c r="B86" s="495"/>
      <c r="C86" s="495"/>
      <c r="D86" s="495"/>
      <c r="E86" s="495"/>
      <c r="F86" s="495"/>
    </row>
    <row r="87" spans="1:6" ht="16.5" thickBot="1" x14ac:dyDescent="0.25">
      <c r="A87" s="166" t="s">
        <v>65</v>
      </c>
      <c r="B87" s="167" t="s">
        <v>66</v>
      </c>
      <c r="C87" s="167" t="s">
        <v>41</v>
      </c>
      <c r="D87" s="168" t="s">
        <v>227</v>
      </c>
      <c r="E87" s="168" t="s">
        <v>67</v>
      </c>
      <c r="F87" s="169" t="s">
        <v>300</v>
      </c>
    </row>
    <row r="88" spans="1:6" ht="15.75" x14ac:dyDescent="0.2">
      <c r="A88" s="31" t="str">
        <f>+A81</f>
        <v>Coletor</v>
      </c>
      <c r="B88" s="25" t="s">
        <v>9</v>
      </c>
      <c r="C88" s="184">
        <f>E33</f>
        <v>2</v>
      </c>
      <c r="D88" s="185">
        <v>0</v>
      </c>
      <c r="E88" s="216">
        <f>C88*D88</f>
        <v>0</v>
      </c>
      <c r="F88" s="265"/>
    </row>
    <row r="89" spans="1:6" ht="15.75" x14ac:dyDescent="0.2">
      <c r="A89" s="31" t="str">
        <f>+A82</f>
        <v>Motorista</v>
      </c>
      <c r="B89" s="25" t="s">
        <v>9</v>
      </c>
      <c r="C89" s="184">
        <f>E34</f>
        <v>1</v>
      </c>
      <c r="D89" s="367">
        <v>113.11797309399398</v>
      </c>
      <c r="E89" s="216">
        <f>C89*D89</f>
        <v>113.11797309399398</v>
      </c>
      <c r="F89" s="261"/>
    </row>
    <row r="90" spans="1:6" ht="16.5" thickBot="1" x14ac:dyDescent="0.25">
      <c r="A90" s="502" t="s">
        <v>300</v>
      </c>
      <c r="B90" s="503"/>
      <c r="C90" s="504"/>
      <c r="D90" s="373">
        <v>11.82401166492</v>
      </c>
      <c r="E90" s="350">
        <f>$B$41</f>
        <v>1</v>
      </c>
      <c r="F90" s="264">
        <f>SUM(E88:E89)*E90</f>
        <v>113.11797309399398</v>
      </c>
    </row>
    <row r="91" spans="1:6" ht="16.5" thickBot="1" x14ac:dyDescent="0.25">
      <c r="A91" s="98"/>
      <c r="B91" s="98"/>
      <c r="C91" s="98"/>
      <c r="D91" s="130"/>
      <c r="E91" s="130"/>
      <c r="F91" s="130"/>
    </row>
    <row r="92" spans="1:6" ht="16.5" thickBot="1" x14ac:dyDescent="0.25">
      <c r="A92" s="217" t="s">
        <v>306</v>
      </c>
      <c r="B92" s="218"/>
      <c r="C92" s="218"/>
      <c r="D92" s="156"/>
      <c r="E92" s="156"/>
      <c r="F92" s="219">
        <f>F90+F84+F77+F69+F55</f>
        <v>18669.411080257691</v>
      </c>
    </row>
    <row r="93" spans="1:6" ht="15.75" x14ac:dyDescent="0.2">
      <c r="A93" s="527"/>
      <c r="B93" s="527"/>
      <c r="C93" s="527"/>
      <c r="D93" s="527"/>
      <c r="E93" s="527"/>
      <c r="F93" s="527"/>
    </row>
    <row r="94" spans="1:6" ht="15.75" x14ac:dyDescent="0.2">
      <c r="A94" s="505" t="s">
        <v>46</v>
      </c>
      <c r="B94" s="505"/>
      <c r="C94" s="505"/>
      <c r="D94" s="505"/>
      <c r="E94" s="505"/>
      <c r="F94" s="505"/>
    </row>
    <row r="95" spans="1:6" ht="15.75" x14ac:dyDescent="0.2">
      <c r="A95" s="467"/>
      <c r="B95" s="467"/>
      <c r="C95" s="467"/>
      <c r="D95" s="467"/>
      <c r="E95" s="467"/>
      <c r="F95" s="467"/>
    </row>
    <row r="96" spans="1:6" ht="15.75" x14ac:dyDescent="0.2">
      <c r="A96" s="526" t="s">
        <v>307</v>
      </c>
      <c r="B96" s="526"/>
      <c r="C96" s="526"/>
      <c r="D96" s="526"/>
      <c r="E96" s="526"/>
      <c r="F96" s="526"/>
    </row>
    <row r="97" spans="1:6" ht="16.5" thickBot="1" x14ac:dyDescent="0.25">
      <c r="A97" s="468"/>
      <c r="B97" s="468"/>
      <c r="C97" s="468"/>
      <c r="D97" s="468"/>
      <c r="E97" s="468"/>
      <c r="F97" s="468"/>
    </row>
    <row r="98" spans="1:6" ht="32.25" thickBot="1" x14ac:dyDescent="0.25">
      <c r="A98" s="166" t="s">
        <v>65</v>
      </c>
      <c r="B98" s="167" t="s">
        <v>66</v>
      </c>
      <c r="C98" s="190" t="s">
        <v>239</v>
      </c>
      <c r="D98" s="168" t="s">
        <v>227</v>
      </c>
      <c r="E98" s="168" t="s">
        <v>67</v>
      </c>
      <c r="F98" s="169" t="s">
        <v>300</v>
      </c>
    </row>
    <row r="99" spans="1:6" ht="15.75" x14ac:dyDescent="0.2">
      <c r="A99" s="251" t="s">
        <v>68</v>
      </c>
      <c r="B99" s="37" t="s">
        <v>9</v>
      </c>
      <c r="C99" s="269">
        <v>4</v>
      </c>
      <c r="D99" s="370">
        <v>98.4</v>
      </c>
      <c r="E99" s="171">
        <f>IFERROR(D99/C99,0)</f>
        <v>24.6</v>
      </c>
      <c r="F99" s="260"/>
    </row>
    <row r="100" spans="1:6" ht="15.75" x14ac:dyDescent="0.2">
      <c r="A100" s="31" t="s">
        <v>29</v>
      </c>
      <c r="B100" s="25" t="s">
        <v>9</v>
      </c>
      <c r="C100" s="191">
        <v>2</v>
      </c>
      <c r="D100" s="370">
        <v>50.42</v>
      </c>
      <c r="E100" s="171">
        <f t="shared" ref="E100:E108" si="1">IFERROR(D100/C100,0)</f>
        <v>25.21</v>
      </c>
      <c r="F100" s="260"/>
    </row>
    <row r="101" spans="1:6" ht="15.75" x14ac:dyDescent="0.2">
      <c r="A101" s="31" t="s">
        <v>30</v>
      </c>
      <c r="B101" s="25" t="s">
        <v>9</v>
      </c>
      <c r="C101" s="191">
        <v>2</v>
      </c>
      <c r="D101" s="370">
        <v>22.4</v>
      </c>
      <c r="E101" s="171">
        <f t="shared" si="1"/>
        <v>11.2</v>
      </c>
      <c r="F101" s="260"/>
    </row>
    <row r="102" spans="1:6" ht="15.75" x14ac:dyDescent="0.2">
      <c r="A102" s="31" t="s">
        <v>31</v>
      </c>
      <c r="B102" s="25" t="s">
        <v>9</v>
      </c>
      <c r="C102" s="191">
        <v>2</v>
      </c>
      <c r="D102" s="370">
        <v>17</v>
      </c>
      <c r="E102" s="171">
        <f t="shared" si="1"/>
        <v>8.5</v>
      </c>
      <c r="F102" s="260"/>
    </row>
    <row r="103" spans="1:6" ht="15.75" x14ac:dyDescent="0.2">
      <c r="A103" s="31" t="s">
        <v>70</v>
      </c>
      <c r="B103" s="25" t="s">
        <v>49</v>
      </c>
      <c r="C103" s="191">
        <v>2</v>
      </c>
      <c r="D103" s="370">
        <v>65.290000000000006</v>
      </c>
      <c r="E103" s="171">
        <f t="shared" si="1"/>
        <v>32.645000000000003</v>
      </c>
      <c r="F103" s="260"/>
    </row>
    <row r="104" spans="1:6" ht="15.75" x14ac:dyDescent="0.2">
      <c r="A104" s="31" t="s">
        <v>94</v>
      </c>
      <c r="B104" s="25" t="s">
        <v>49</v>
      </c>
      <c r="C104" s="191">
        <v>2</v>
      </c>
      <c r="D104" s="370">
        <v>8.75</v>
      </c>
      <c r="E104" s="171">
        <f t="shared" si="1"/>
        <v>4.375</v>
      </c>
      <c r="F104" s="260"/>
    </row>
    <row r="105" spans="1:6" ht="15.75" x14ac:dyDescent="0.2">
      <c r="A105" s="31" t="s">
        <v>69</v>
      </c>
      <c r="B105" s="25" t="s">
        <v>9</v>
      </c>
      <c r="C105" s="191">
        <v>2</v>
      </c>
      <c r="D105" s="370">
        <v>20.66</v>
      </c>
      <c r="E105" s="171">
        <f t="shared" si="1"/>
        <v>10.33</v>
      </c>
      <c r="F105" s="260"/>
    </row>
    <row r="106" spans="1:6" ht="15.75" x14ac:dyDescent="0.25">
      <c r="A106" s="267" t="s">
        <v>10</v>
      </c>
      <c r="B106" s="27" t="s">
        <v>9</v>
      </c>
      <c r="C106" s="191">
        <v>6</v>
      </c>
      <c r="D106" s="370">
        <v>38.54</v>
      </c>
      <c r="E106" s="171">
        <f t="shared" si="1"/>
        <v>6.4233333333333329</v>
      </c>
      <c r="F106" s="270"/>
    </row>
    <row r="107" spans="1:6" ht="15.75" x14ac:dyDescent="0.2">
      <c r="A107" s="31" t="s">
        <v>32</v>
      </c>
      <c r="B107" s="25" t="s">
        <v>49</v>
      </c>
      <c r="C107" s="191">
        <v>1</v>
      </c>
      <c r="D107" s="370">
        <v>19.170000000000002</v>
      </c>
      <c r="E107" s="171">
        <f t="shared" si="1"/>
        <v>19.170000000000002</v>
      </c>
      <c r="F107" s="260"/>
    </row>
    <row r="108" spans="1:6" ht="15.75" x14ac:dyDescent="0.2">
      <c r="A108" s="31" t="s">
        <v>64</v>
      </c>
      <c r="B108" s="25" t="s">
        <v>50</v>
      </c>
      <c r="C108" s="191">
        <v>1</v>
      </c>
      <c r="D108" s="370">
        <v>24.44</v>
      </c>
      <c r="E108" s="171">
        <f t="shared" si="1"/>
        <v>24.44</v>
      </c>
      <c r="F108" s="260"/>
    </row>
    <row r="109" spans="1:6" ht="15.75" x14ac:dyDescent="0.2">
      <c r="A109" s="31" t="s">
        <v>193</v>
      </c>
      <c r="B109" s="25" t="s">
        <v>120</v>
      </c>
      <c r="C109" s="192">
        <v>1</v>
      </c>
      <c r="D109" s="370">
        <v>82.46</v>
      </c>
      <c r="E109" s="173">
        <f t="shared" ref="E109:E110" si="2">C109*D109</f>
        <v>82.46</v>
      </c>
      <c r="F109" s="260"/>
    </row>
    <row r="110" spans="1:6" ht="15.75" x14ac:dyDescent="0.2">
      <c r="A110" s="31" t="s">
        <v>4</v>
      </c>
      <c r="B110" s="25" t="s">
        <v>5</v>
      </c>
      <c r="C110" s="192">
        <f>E33</f>
        <v>2</v>
      </c>
      <c r="D110" s="173">
        <f>+SUM(E99:E109)</f>
        <v>249.3533333333333</v>
      </c>
      <c r="E110" s="173">
        <f t="shared" si="2"/>
        <v>498.70666666666659</v>
      </c>
      <c r="F110" s="260"/>
    </row>
    <row r="111" spans="1:6" ht="16.5" thickBot="1" x14ac:dyDescent="0.25">
      <c r="A111" s="496" t="s">
        <v>337</v>
      </c>
      <c r="B111" s="497"/>
      <c r="C111" s="498"/>
      <c r="D111" s="257" t="s">
        <v>301</v>
      </c>
      <c r="E111" s="349">
        <f>$B$41</f>
        <v>1</v>
      </c>
      <c r="F111" s="211">
        <f>E110*E111</f>
        <v>498.70666666666659</v>
      </c>
    </row>
    <row r="112" spans="1:6" ht="15.75" x14ac:dyDescent="0.2">
      <c r="A112" s="467"/>
      <c r="B112" s="467"/>
      <c r="C112" s="467"/>
      <c r="D112" s="467"/>
      <c r="E112" s="467"/>
      <c r="F112" s="467"/>
    </row>
    <row r="113" spans="1:6" ht="15.75" x14ac:dyDescent="0.2">
      <c r="A113" s="526" t="s">
        <v>308</v>
      </c>
      <c r="B113" s="526"/>
      <c r="C113" s="526"/>
      <c r="D113" s="526"/>
      <c r="E113" s="526"/>
      <c r="F113" s="526"/>
    </row>
    <row r="114" spans="1:6" ht="16.5" thickBot="1" x14ac:dyDescent="0.25">
      <c r="A114" s="468"/>
      <c r="B114" s="468"/>
      <c r="C114" s="468"/>
      <c r="D114" s="468"/>
      <c r="E114" s="468"/>
      <c r="F114" s="468"/>
    </row>
    <row r="115" spans="1:6" ht="32.25" thickBot="1" x14ac:dyDescent="0.25">
      <c r="A115" s="166" t="s">
        <v>65</v>
      </c>
      <c r="B115" s="167" t="s">
        <v>66</v>
      </c>
      <c r="C115" s="190" t="s">
        <v>239</v>
      </c>
      <c r="D115" s="168" t="s">
        <v>227</v>
      </c>
      <c r="E115" s="168" t="s">
        <v>67</v>
      </c>
      <c r="F115" s="169" t="s">
        <v>300</v>
      </c>
    </row>
    <row r="116" spans="1:6" ht="15.75" x14ac:dyDescent="0.2">
      <c r="A116" s="251" t="s">
        <v>68</v>
      </c>
      <c r="B116" s="37" t="s">
        <v>9</v>
      </c>
      <c r="C116" s="191">
        <v>12</v>
      </c>
      <c r="D116" s="170">
        <v>98.4</v>
      </c>
      <c r="E116" s="171">
        <f>IFERROR(D116/C116,0)</f>
        <v>8.2000000000000011</v>
      </c>
      <c r="F116" s="259"/>
    </row>
    <row r="117" spans="1:6" ht="15.75" x14ac:dyDescent="0.2">
      <c r="A117" s="31" t="s">
        <v>29</v>
      </c>
      <c r="B117" s="25" t="s">
        <v>9</v>
      </c>
      <c r="C117" s="191">
        <v>2</v>
      </c>
      <c r="D117" s="170">
        <v>50.42</v>
      </c>
      <c r="E117" s="171">
        <f t="shared" ref="E117:E121" si="3">IFERROR(D117/C117,0)</f>
        <v>25.21</v>
      </c>
      <c r="F117" s="260"/>
    </row>
    <row r="118" spans="1:6" ht="15.75" x14ac:dyDescent="0.2">
      <c r="A118" s="31" t="s">
        <v>30</v>
      </c>
      <c r="B118" s="25" t="s">
        <v>9</v>
      </c>
      <c r="C118" s="191">
        <v>2</v>
      </c>
      <c r="D118" s="170">
        <v>22.4</v>
      </c>
      <c r="E118" s="171">
        <f t="shared" si="3"/>
        <v>11.2</v>
      </c>
      <c r="F118" s="260"/>
    </row>
    <row r="119" spans="1:6" ht="15.75" x14ac:dyDescent="0.2">
      <c r="A119" s="31" t="s">
        <v>70</v>
      </c>
      <c r="B119" s="25" t="s">
        <v>49</v>
      </c>
      <c r="C119" s="191">
        <v>2</v>
      </c>
      <c r="D119" s="170">
        <v>65.290000000000006</v>
      </c>
      <c r="E119" s="171">
        <f t="shared" si="3"/>
        <v>32.645000000000003</v>
      </c>
      <c r="F119" s="260"/>
    </row>
    <row r="120" spans="1:6" ht="15.75" x14ac:dyDescent="0.2">
      <c r="A120" s="31" t="s">
        <v>69</v>
      </c>
      <c r="B120" s="25" t="s">
        <v>9</v>
      </c>
      <c r="C120" s="191">
        <v>2</v>
      </c>
      <c r="D120" s="170">
        <v>20.66</v>
      </c>
      <c r="E120" s="171">
        <f t="shared" si="3"/>
        <v>10.33</v>
      </c>
      <c r="F120" s="260"/>
    </row>
    <row r="121" spans="1:6" ht="15.75" x14ac:dyDescent="0.2">
      <c r="A121" s="31" t="s">
        <v>64</v>
      </c>
      <c r="B121" s="25" t="s">
        <v>50</v>
      </c>
      <c r="C121" s="191">
        <v>1</v>
      </c>
      <c r="D121" s="170">
        <v>24.44</v>
      </c>
      <c r="E121" s="171">
        <f t="shared" si="3"/>
        <v>24.44</v>
      </c>
      <c r="F121" s="260"/>
    </row>
    <row r="122" spans="1:6" ht="15.75" x14ac:dyDescent="0.2">
      <c r="A122" s="31" t="s">
        <v>193</v>
      </c>
      <c r="B122" s="25" t="s">
        <v>120</v>
      </c>
      <c r="C122" s="192">
        <v>1</v>
      </c>
      <c r="D122" s="170">
        <v>82.46</v>
      </c>
      <c r="E122" s="173">
        <f t="shared" ref="E122:E123" si="4">C122*D122</f>
        <v>82.46</v>
      </c>
      <c r="F122" s="260"/>
    </row>
    <row r="123" spans="1:6" ht="15.75" x14ac:dyDescent="0.2">
      <c r="A123" s="31" t="s">
        <v>4</v>
      </c>
      <c r="B123" s="25" t="s">
        <v>5</v>
      </c>
      <c r="C123" s="192">
        <f>E34</f>
        <v>1</v>
      </c>
      <c r="D123" s="173">
        <f>+SUM(E116:E122)</f>
        <v>194.48499999999999</v>
      </c>
      <c r="E123" s="173">
        <f t="shared" si="4"/>
        <v>194.48499999999999</v>
      </c>
      <c r="F123" s="260"/>
    </row>
    <row r="124" spans="1:6" ht="16.5" thickBot="1" x14ac:dyDescent="0.25">
      <c r="A124" s="496" t="s">
        <v>337</v>
      </c>
      <c r="B124" s="497"/>
      <c r="C124" s="498"/>
      <c r="D124" s="257" t="s">
        <v>301</v>
      </c>
      <c r="E124" s="349">
        <f>$B$41</f>
        <v>1</v>
      </c>
      <c r="F124" s="211">
        <f>E123*E124</f>
        <v>194.48499999999999</v>
      </c>
    </row>
    <row r="125" spans="1:6" ht="16.5" thickBot="1" x14ac:dyDescent="0.25">
      <c r="A125" s="98"/>
      <c r="B125" s="98"/>
      <c r="C125" s="98"/>
      <c r="D125" s="130"/>
      <c r="E125" s="130"/>
      <c r="F125" s="130"/>
    </row>
    <row r="126" spans="1:6" ht="16.5" thickBot="1" x14ac:dyDescent="0.25">
      <c r="A126" s="217" t="s">
        <v>194</v>
      </c>
      <c r="B126" s="271"/>
      <c r="C126" s="271"/>
      <c r="D126" s="272"/>
      <c r="E126" s="272"/>
      <c r="F126" s="178">
        <f>+F111+F124</f>
        <v>693.19166666666661</v>
      </c>
    </row>
    <row r="127" spans="1:6" ht="15.75" x14ac:dyDescent="0.2">
      <c r="A127" s="98"/>
      <c r="B127" s="98"/>
      <c r="C127" s="98"/>
      <c r="D127" s="130"/>
      <c r="E127" s="130"/>
      <c r="F127" s="130"/>
    </row>
    <row r="128" spans="1:6" ht="15.75" x14ac:dyDescent="0.2">
      <c r="A128" s="107" t="s">
        <v>55</v>
      </c>
      <c r="B128" s="98"/>
      <c r="C128" s="98"/>
      <c r="D128" s="130"/>
      <c r="E128" s="130"/>
      <c r="F128" s="130"/>
    </row>
    <row r="129" spans="1:6" ht="15.75" x14ac:dyDescent="0.2">
      <c r="A129" s="98"/>
      <c r="B129" s="193"/>
      <c r="C129" s="98"/>
      <c r="D129" s="130"/>
      <c r="E129" s="130"/>
      <c r="F129" s="130"/>
    </row>
    <row r="130" spans="1:6" ht="15.75" x14ac:dyDescent="0.2">
      <c r="A130" s="212" t="s">
        <v>406</v>
      </c>
      <c r="B130" s="98"/>
      <c r="C130" s="98"/>
      <c r="D130" s="130"/>
      <c r="E130" s="130"/>
      <c r="F130" s="130"/>
    </row>
    <row r="131" spans="1:6" ht="15.75" x14ac:dyDescent="0.2">
      <c r="A131" s="98"/>
      <c r="B131" s="98"/>
      <c r="C131" s="98"/>
      <c r="D131" s="130"/>
      <c r="E131" s="130"/>
      <c r="F131" s="130"/>
    </row>
    <row r="132" spans="1:6" ht="16.5" thickBot="1" x14ac:dyDescent="0.25">
      <c r="A132" s="221" t="s">
        <v>338</v>
      </c>
      <c r="B132" s="98"/>
      <c r="C132" s="98"/>
      <c r="D132" s="130"/>
      <c r="E132" s="130"/>
      <c r="F132" s="130"/>
    </row>
    <row r="133" spans="1:6" ht="16.5" thickBot="1" x14ac:dyDescent="0.25">
      <c r="A133" s="166" t="s">
        <v>65</v>
      </c>
      <c r="B133" s="167" t="s">
        <v>66</v>
      </c>
      <c r="C133" s="167" t="s">
        <v>41</v>
      </c>
      <c r="D133" s="168" t="s">
        <v>227</v>
      </c>
      <c r="E133" s="168" t="s">
        <v>67</v>
      </c>
      <c r="F133" s="169" t="s">
        <v>300</v>
      </c>
    </row>
    <row r="134" spans="1:6" ht="15.75" x14ac:dyDescent="0.2">
      <c r="A134" s="251" t="s">
        <v>107</v>
      </c>
      <c r="B134" s="37" t="s">
        <v>9</v>
      </c>
      <c r="C134" s="37">
        <v>1</v>
      </c>
      <c r="D134" s="370">
        <v>315845</v>
      </c>
      <c r="E134" s="215">
        <f>C134*D134</f>
        <v>315845</v>
      </c>
      <c r="F134" s="259"/>
    </row>
    <row r="135" spans="1:6" ht="15.75" x14ac:dyDescent="0.2">
      <c r="A135" s="31" t="s">
        <v>101</v>
      </c>
      <c r="B135" s="25" t="s">
        <v>102</v>
      </c>
      <c r="C135" s="30">
        <v>3</v>
      </c>
      <c r="D135" s="174"/>
      <c r="E135" s="214"/>
      <c r="F135" s="260"/>
    </row>
    <row r="136" spans="1:6" ht="15.75" x14ac:dyDescent="0.2">
      <c r="A136" s="31" t="s">
        <v>201</v>
      </c>
      <c r="B136" s="25" t="s">
        <v>102</v>
      </c>
      <c r="C136" s="30">
        <v>0</v>
      </c>
      <c r="D136" s="173"/>
      <c r="E136" s="214"/>
      <c r="F136" s="273"/>
    </row>
    <row r="137" spans="1:6" ht="15.75" x14ac:dyDescent="0.2">
      <c r="A137" s="31" t="s">
        <v>105</v>
      </c>
      <c r="B137" s="25" t="s">
        <v>2</v>
      </c>
      <c r="C137" s="176">
        <f>SUM('5. Depreciação'!B5)</f>
        <v>48.68</v>
      </c>
      <c r="D137" s="173">
        <f>E134</f>
        <v>315845</v>
      </c>
      <c r="E137" s="214">
        <f>C137*D137/100</f>
        <v>153753.34599999999</v>
      </c>
      <c r="F137" s="260"/>
    </row>
    <row r="138" spans="1:6" ht="16.5" thickBot="1" x14ac:dyDescent="0.25">
      <c r="A138" s="274" t="s">
        <v>51</v>
      </c>
      <c r="B138" s="195" t="s">
        <v>7</v>
      </c>
      <c r="C138" s="195">
        <f>C135*12</f>
        <v>36</v>
      </c>
      <c r="D138" s="196">
        <f>IF(C136&lt;=C135,E137,0)</f>
        <v>153753.34599999999</v>
      </c>
      <c r="E138" s="222">
        <f>IFERROR(D138/C138,0)</f>
        <v>4270.9262777777776</v>
      </c>
      <c r="F138" s="260"/>
    </row>
    <row r="139" spans="1:6" ht="16.5" thickTop="1" x14ac:dyDescent="0.2">
      <c r="A139" s="251" t="s">
        <v>106</v>
      </c>
      <c r="B139" s="37" t="s">
        <v>9</v>
      </c>
      <c r="C139" s="37">
        <f>C134</f>
        <v>1</v>
      </c>
      <c r="D139" s="370">
        <v>66133.44913319475</v>
      </c>
      <c r="E139" s="215">
        <f>C139*D139</f>
        <v>66133.44913319475</v>
      </c>
      <c r="F139" s="260"/>
    </row>
    <row r="140" spans="1:6" ht="15.75" x14ac:dyDescent="0.2">
      <c r="A140" s="31" t="s">
        <v>103</v>
      </c>
      <c r="B140" s="25" t="s">
        <v>102</v>
      </c>
      <c r="C140" s="30">
        <v>3</v>
      </c>
      <c r="D140" s="173"/>
      <c r="E140" s="214"/>
      <c r="F140" s="260"/>
    </row>
    <row r="141" spans="1:6" ht="15.75" x14ac:dyDescent="0.2">
      <c r="A141" s="31" t="s">
        <v>202</v>
      </c>
      <c r="B141" s="25" t="s">
        <v>102</v>
      </c>
      <c r="C141" s="30">
        <v>0</v>
      </c>
      <c r="D141" s="173"/>
      <c r="E141" s="214"/>
      <c r="F141" s="273"/>
    </row>
    <row r="142" spans="1:6" ht="15.75" x14ac:dyDescent="0.2">
      <c r="A142" s="31" t="s">
        <v>104</v>
      </c>
      <c r="B142" s="25" t="s">
        <v>2</v>
      </c>
      <c r="C142" s="197">
        <f>SUM(C137)</f>
        <v>48.68</v>
      </c>
      <c r="D142" s="173">
        <f>E139</f>
        <v>66133.44913319475</v>
      </c>
      <c r="E142" s="214">
        <f>C142*D142/100</f>
        <v>32193.763038039204</v>
      </c>
      <c r="F142" s="260"/>
    </row>
    <row r="143" spans="1:6" ht="15.75" x14ac:dyDescent="0.2">
      <c r="A143" s="275" t="s">
        <v>108</v>
      </c>
      <c r="B143" s="120" t="s">
        <v>7</v>
      </c>
      <c r="C143" s="120">
        <f>C140*12</f>
        <v>36</v>
      </c>
      <c r="D143" s="181">
        <f>IF(C141&lt;=C140,E142,0)</f>
        <v>32193.763038039204</v>
      </c>
      <c r="E143" s="223">
        <f>IFERROR(D143/C143,0)</f>
        <v>894.27119550108898</v>
      </c>
      <c r="F143" s="260"/>
    </row>
    <row r="144" spans="1:6" ht="15.75" x14ac:dyDescent="0.2">
      <c r="A144" s="276" t="s">
        <v>242</v>
      </c>
      <c r="B144" s="277"/>
      <c r="C144" s="277"/>
      <c r="D144" s="278"/>
      <c r="E144" s="224">
        <f>E138+E143</f>
        <v>5165.1974732788667</v>
      </c>
      <c r="F144" s="260"/>
    </row>
    <row r="145" spans="1:6" ht="15.75" x14ac:dyDescent="0.2">
      <c r="A145" s="275" t="s">
        <v>243</v>
      </c>
      <c r="B145" s="120" t="s">
        <v>9</v>
      </c>
      <c r="C145" s="30">
        <v>1</v>
      </c>
      <c r="D145" s="181">
        <f>E144</f>
        <v>5165.1974732788667</v>
      </c>
      <c r="E145" s="224">
        <f>C145*D145</f>
        <v>5165.1974732788667</v>
      </c>
      <c r="F145" s="260"/>
    </row>
    <row r="146" spans="1:6" ht="16.5" thickBot="1" x14ac:dyDescent="0.25">
      <c r="A146" s="506" t="str">
        <f>F133</f>
        <v>Total (R$)</v>
      </c>
      <c r="B146" s="507"/>
      <c r="C146" s="508"/>
      <c r="D146" s="257" t="s">
        <v>301</v>
      </c>
      <c r="E146" s="350">
        <f>$B$41</f>
        <v>1</v>
      </c>
      <c r="F146" s="211">
        <f>(E145*E146)*1.08</f>
        <v>5578.4132711411767</v>
      </c>
    </row>
    <row r="147" spans="1:6" ht="15.75" x14ac:dyDescent="0.2">
      <c r="A147" s="98"/>
      <c r="B147" s="98"/>
      <c r="C147" s="98"/>
      <c r="D147" s="130"/>
      <c r="E147" s="130"/>
      <c r="F147" s="130"/>
    </row>
    <row r="148" spans="1:6" ht="16.5" thickBot="1" x14ac:dyDescent="0.25">
      <c r="A148" s="221" t="s">
        <v>339</v>
      </c>
      <c r="B148" s="98"/>
      <c r="C148" s="98"/>
      <c r="D148" s="130"/>
      <c r="E148" s="130"/>
      <c r="F148" s="130"/>
    </row>
    <row r="149" spans="1:6" ht="16.5" thickBot="1" x14ac:dyDescent="0.25">
      <c r="A149" s="166" t="s">
        <v>65</v>
      </c>
      <c r="B149" s="167" t="s">
        <v>66</v>
      </c>
      <c r="C149" s="167" t="s">
        <v>41</v>
      </c>
      <c r="D149" s="168" t="s">
        <v>227</v>
      </c>
      <c r="E149" s="168" t="s">
        <v>67</v>
      </c>
      <c r="F149" s="169" t="s">
        <v>300</v>
      </c>
    </row>
    <row r="150" spans="1:6" ht="15.75" x14ac:dyDescent="0.2">
      <c r="A150" s="251" t="s">
        <v>109</v>
      </c>
      <c r="B150" s="37" t="s">
        <v>9</v>
      </c>
      <c r="C150" s="37">
        <v>1</v>
      </c>
      <c r="D150" s="171">
        <f>D134</f>
        <v>315845</v>
      </c>
      <c r="E150" s="215">
        <f>C150*D150</f>
        <v>315845</v>
      </c>
      <c r="F150" s="279"/>
    </row>
    <row r="151" spans="1:6" ht="15.75" x14ac:dyDescent="0.2">
      <c r="A151" s="31" t="s">
        <v>205</v>
      </c>
      <c r="B151" s="25" t="s">
        <v>2</v>
      </c>
      <c r="C151" s="30">
        <v>13.75</v>
      </c>
      <c r="D151" s="173"/>
      <c r="E151" s="214"/>
      <c r="F151" s="273"/>
    </row>
    <row r="152" spans="1:6" ht="15.75" x14ac:dyDescent="0.2">
      <c r="A152" s="31" t="s">
        <v>203</v>
      </c>
      <c r="B152" s="25" t="s">
        <v>34</v>
      </c>
      <c r="C152" s="198">
        <f>IFERROR(IF(C136&lt;=C135,E134-(C137/(100*C135)*C136)*E134,E134-E137),0)</f>
        <v>315845</v>
      </c>
      <c r="D152" s="173"/>
      <c r="E152" s="214"/>
      <c r="F152" s="273"/>
    </row>
    <row r="153" spans="1:6" ht="15.75" x14ac:dyDescent="0.2">
      <c r="A153" s="31" t="s">
        <v>113</v>
      </c>
      <c r="B153" s="25" t="s">
        <v>34</v>
      </c>
      <c r="C153" s="174">
        <f>IFERROR(IF(C141&gt;=C140,C152,((((C152)-(E139-E142))*(((C140-C141)+1)/(2*(C140-C141))))+(E139-E142))),0)</f>
        <v>221876.56203171849</v>
      </c>
      <c r="D153" s="173"/>
      <c r="E153" s="214"/>
      <c r="F153" s="273"/>
    </row>
    <row r="154" spans="1:6" ht="16.5" thickBot="1" x14ac:dyDescent="0.25">
      <c r="A154" s="274" t="s">
        <v>114</v>
      </c>
      <c r="B154" s="195" t="s">
        <v>34</v>
      </c>
      <c r="C154" s="195"/>
      <c r="D154" s="199">
        <f>C151*C153/12/100</f>
        <v>2542.3356066134411</v>
      </c>
      <c r="E154" s="222">
        <f>D154</f>
        <v>2542.3356066134411</v>
      </c>
      <c r="F154" s="273"/>
    </row>
    <row r="155" spans="1:6" ht="16.5" thickTop="1" x14ac:dyDescent="0.2">
      <c r="A155" s="251" t="s">
        <v>110</v>
      </c>
      <c r="B155" s="37" t="s">
        <v>9</v>
      </c>
      <c r="C155" s="37">
        <v>1</v>
      </c>
      <c r="D155" s="171">
        <f>SUM(D139)</f>
        <v>66133.44913319475</v>
      </c>
      <c r="E155" s="215">
        <f>C155*D155</f>
        <v>66133.44913319475</v>
      </c>
      <c r="F155" s="273"/>
    </row>
    <row r="156" spans="1:6" ht="15.75" x14ac:dyDescent="0.2">
      <c r="A156" s="31" t="s">
        <v>205</v>
      </c>
      <c r="B156" s="25" t="s">
        <v>2</v>
      </c>
      <c r="C156" s="30">
        <f>SUM(C151)</f>
        <v>13.75</v>
      </c>
      <c r="D156" s="173"/>
      <c r="E156" s="214"/>
      <c r="F156" s="273"/>
    </row>
    <row r="157" spans="1:6" ht="15.75" x14ac:dyDescent="0.2">
      <c r="A157" s="31" t="s">
        <v>204</v>
      </c>
      <c r="B157" s="25" t="s">
        <v>34</v>
      </c>
      <c r="C157" s="198">
        <f>IFERROR(IF(C141&lt;=C140,E139-(C142/(100*C140)*C141)*E139,E139-E142),0)</f>
        <v>66133.44913319475</v>
      </c>
      <c r="D157" s="173"/>
      <c r="E157" s="214"/>
      <c r="F157" s="273"/>
    </row>
    <row r="158" spans="1:6" ht="15.75" x14ac:dyDescent="0.2">
      <c r="A158" s="31" t="s">
        <v>115</v>
      </c>
      <c r="B158" s="25" t="s">
        <v>34</v>
      </c>
      <c r="C158" s="174">
        <f>IFERROR(IF(C141&gt;=C140,C157,((((C157)-(E139-E142))*(((C140-C141)+1)/(2*(C140-C141))))+(E139-E142))),0)</f>
        <v>55402.194787181681</v>
      </c>
      <c r="D158" s="173"/>
      <c r="E158" s="214"/>
      <c r="F158" s="273"/>
    </row>
    <row r="159" spans="1:6" ht="16.5" thickBot="1" x14ac:dyDescent="0.25">
      <c r="A159" s="275" t="s">
        <v>112</v>
      </c>
      <c r="B159" s="195" t="s">
        <v>34</v>
      </c>
      <c r="C159" s="195"/>
      <c r="D159" s="199">
        <f>C156*C158/12/100</f>
        <v>634.81681526979003</v>
      </c>
      <c r="E159" s="222">
        <f>D159</f>
        <v>634.81681526979003</v>
      </c>
      <c r="F159" s="273"/>
    </row>
    <row r="160" spans="1:6" ht="16.5" thickTop="1" x14ac:dyDescent="0.2">
      <c r="A160" s="276" t="s">
        <v>242</v>
      </c>
      <c r="B160" s="277"/>
      <c r="C160" s="277"/>
      <c r="D160" s="278"/>
      <c r="E160" s="224">
        <f>E154+E159</f>
        <v>3177.152421883231</v>
      </c>
      <c r="F160" s="273"/>
    </row>
    <row r="161" spans="1:6" ht="15.75" x14ac:dyDescent="0.2">
      <c r="A161" s="275" t="s">
        <v>243</v>
      </c>
      <c r="B161" s="120" t="s">
        <v>9</v>
      </c>
      <c r="C161" s="25">
        <f>C145</f>
        <v>1</v>
      </c>
      <c r="D161" s="181">
        <f>E160</f>
        <v>3177.152421883231</v>
      </c>
      <c r="E161" s="224">
        <f>C161*D161</f>
        <v>3177.152421883231</v>
      </c>
      <c r="F161" s="273"/>
    </row>
    <row r="162" spans="1:6" ht="16.5" thickBot="1" x14ac:dyDescent="0.25">
      <c r="A162" s="509" t="str">
        <f>F149</f>
        <v>Total (R$)</v>
      </c>
      <c r="B162" s="497"/>
      <c r="C162" s="498"/>
      <c r="D162" s="257" t="s">
        <v>301</v>
      </c>
      <c r="E162" s="350">
        <f>$B$41</f>
        <v>1</v>
      </c>
      <c r="F162" s="211">
        <f>(E161*E162)*1.08</f>
        <v>3431.3246156338896</v>
      </c>
    </row>
    <row r="163" spans="1:6" ht="15.75" x14ac:dyDescent="0.2">
      <c r="A163" s="98"/>
      <c r="B163" s="98"/>
      <c r="C163" s="98"/>
      <c r="D163" s="130"/>
      <c r="E163" s="130"/>
      <c r="F163" s="130"/>
    </row>
    <row r="164" spans="1:6" ht="16.5" thickBot="1" x14ac:dyDescent="0.25">
      <c r="A164" s="220" t="s">
        <v>340</v>
      </c>
      <c r="B164" s="98"/>
      <c r="C164" s="98"/>
      <c r="D164" s="130"/>
      <c r="E164" s="130"/>
      <c r="F164" s="130"/>
    </row>
    <row r="165" spans="1:6" ht="16.5" thickBot="1" x14ac:dyDescent="0.25">
      <c r="A165" s="166" t="s">
        <v>65</v>
      </c>
      <c r="B165" s="167" t="s">
        <v>66</v>
      </c>
      <c r="C165" s="167" t="s">
        <v>41</v>
      </c>
      <c r="D165" s="168" t="s">
        <v>227</v>
      </c>
      <c r="E165" s="168" t="s">
        <v>67</v>
      </c>
      <c r="F165" s="169" t="s">
        <v>300</v>
      </c>
    </row>
    <row r="166" spans="1:6" ht="15.75" x14ac:dyDescent="0.2">
      <c r="A166" s="251" t="s">
        <v>11</v>
      </c>
      <c r="B166" s="37" t="s">
        <v>9</v>
      </c>
      <c r="C166" s="171">
        <f>C134</f>
        <v>1</v>
      </c>
      <c r="D166" s="371">
        <v>2145.5674082784858</v>
      </c>
      <c r="E166" s="171">
        <f>C166*D166</f>
        <v>2145.5674082784858</v>
      </c>
      <c r="F166" s="259"/>
    </row>
    <row r="167" spans="1:6" ht="15.75" x14ac:dyDescent="0.2">
      <c r="A167" s="31" t="s">
        <v>192</v>
      </c>
      <c r="B167" s="25" t="s">
        <v>9</v>
      </c>
      <c r="C167" s="171">
        <v>1</v>
      </c>
      <c r="D167" s="185">
        <f>66.7+5.78</f>
        <v>72.48</v>
      </c>
      <c r="E167" s="173">
        <f>C167*D167</f>
        <v>72.48</v>
      </c>
      <c r="F167" s="260"/>
    </row>
    <row r="168" spans="1:6" ht="15.75" x14ac:dyDescent="0.2">
      <c r="A168" s="31" t="s">
        <v>12</v>
      </c>
      <c r="B168" s="25" t="s">
        <v>9</v>
      </c>
      <c r="C168" s="171">
        <v>1</v>
      </c>
      <c r="D168" s="367">
        <v>5613.8037992208701</v>
      </c>
      <c r="E168" s="173">
        <f>C168*D168</f>
        <v>5613.8037992208701</v>
      </c>
      <c r="F168" s="280"/>
    </row>
    <row r="169" spans="1:6" ht="15.75" x14ac:dyDescent="0.2">
      <c r="A169" s="275" t="s">
        <v>13</v>
      </c>
      <c r="B169" s="120" t="s">
        <v>7</v>
      </c>
      <c r="C169" s="120">
        <v>12</v>
      </c>
      <c r="D169" s="181">
        <f>SUM(E166:E168)</f>
        <v>7831.851207499356</v>
      </c>
      <c r="E169" s="181">
        <f>D169/C169</f>
        <v>652.654267291613</v>
      </c>
      <c r="F169" s="260"/>
    </row>
    <row r="170" spans="1:6" ht="16.5" thickBot="1" x14ac:dyDescent="0.25">
      <c r="A170" s="281" t="str">
        <f>F165</f>
        <v>Total (R$)</v>
      </c>
      <c r="B170" s="282"/>
      <c r="C170" s="282"/>
      <c r="D170" s="257" t="s">
        <v>301</v>
      </c>
      <c r="E170" s="349">
        <f>$B$41</f>
        <v>1</v>
      </c>
      <c r="F170" s="211">
        <f>E169*E170</f>
        <v>652.654267291613</v>
      </c>
    </row>
    <row r="171" spans="1:6" ht="15.75" x14ac:dyDescent="0.2">
      <c r="A171" s="98"/>
      <c r="B171" s="98"/>
      <c r="C171" s="98"/>
      <c r="D171" s="130"/>
      <c r="E171" s="130"/>
      <c r="F171" s="130"/>
    </row>
    <row r="172" spans="1:6" ht="15.75" x14ac:dyDescent="0.2">
      <c r="A172" s="220" t="s">
        <v>341</v>
      </c>
      <c r="B172" s="201"/>
      <c r="C172" s="98"/>
      <c r="D172" s="130"/>
      <c r="E172" s="130"/>
      <c r="F172" s="130"/>
    </row>
    <row r="173" spans="1:6" ht="16.5" thickBot="1" x14ac:dyDescent="0.25">
      <c r="A173" s="98"/>
      <c r="B173" s="201"/>
      <c r="C173" s="98"/>
      <c r="D173" s="130"/>
      <c r="E173" s="130"/>
      <c r="F173" s="130"/>
    </row>
    <row r="174" spans="1:6" ht="16.5" thickBot="1" x14ac:dyDescent="0.25">
      <c r="A174" s="186" t="s">
        <v>117</v>
      </c>
      <c r="B174" s="389">
        <v>2088</v>
      </c>
      <c r="C174" s="98"/>
      <c r="D174" s="130"/>
      <c r="E174" s="130"/>
      <c r="F174" s="130"/>
    </row>
    <row r="175" spans="1:6" ht="16.5" thickBot="1" x14ac:dyDescent="0.25">
      <c r="A175" s="98"/>
      <c r="B175" s="201"/>
      <c r="C175" s="98"/>
      <c r="D175" s="130"/>
      <c r="E175" s="130"/>
      <c r="F175" s="130"/>
    </row>
    <row r="176" spans="1:6" ht="16.5" thickBot="1" x14ac:dyDescent="0.25">
      <c r="A176" s="166" t="s">
        <v>65</v>
      </c>
      <c r="B176" s="167" t="s">
        <v>66</v>
      </c>
      <c r="C176" s="167" t="s">
        <v>241</v>
      </c>
      <c r="D176" s="168" t="s">
        <v>227</v>
      </c>
      <c r="E176" s="168" t="s">
        <v>67</v>
      </c>
      <c r="F176" s="169" t="s">
        <v>300</v>
      </c>
    </row>
    <row r="177" spans="1:6" ht="15.75" x14ac:dyDescent="0.2">
      <c r="A177" s="283" t="s">
        <v>14</v>
      </c>
      <c r="B177" s="226" t="s">
        <v>15</v>
      </c>
      <c r="C177" s="227">
        <v>1.9</v>
      </c>
      <c r="D177" s="378">
        <v>5.81</v>
      </c>
      <c r="E177" s="240"/>
      <c r="F177" s="259"/>
    </row>
    <row r="178" spans="1:6" ht="15.75" x14ac:dyDescent="0.2">
      <c r="A178" s="284" t="s">
        <v>16</v>
      </c>
      <c r="B178" s="231" t="s">
        <v>17</v>
      </c>
      <c r="C178" s="387">
        <f>SUM(B174)</f>
        <v>2088</v>
      </c>
      <c r="D178" s="233">
        <f>IFERROR(+D177/C177,"-")</f>
        <v>3.0578947368421052</v>
      </c>
      <c r="E178" s="241">
        <f>IFERROR(C178*D178,"-")</f>
        <v>6384.8842105263157</v>
      </c>
      <c r="F178" s="260"/>
    </row>
    <row r="179" spans="1:6" ht="15.75" x14ac:dyDescent="0.2">
      <c r="A179" s="70" t="s">
        <v>228</v>
      </c>
      <c r="B179" s="237" t="s">
        <v>18</v>
      </c>
      <c r="C179" s="238">
        <v>6</v>
      </c>
      <c r="D179" s="374">
        <v>34.145729622673869</v>
      </c>
      <c r="E179" s="242"/>
      <c r="F179" s="260"/>
    </row>
    <row r="180" spans="1:6" ht="15.75" x14ac:dyDescent="0.2">
      <c r="A180" s="69" t="s">
        <v>19</v>
      </c>
      <c r="B180" s="228" t="s">
        <v>17</v>
      </c>
      <c r="C180" s="388">
        <f>C178</f>
        <v>2088</v>
      </c>
      <c r="D180" s="230">
        <f>+C179*D179/1000</f>
        <v>0.20487437773604322</v>
      </c>
      <c r="E180" s="243">
        <f>C180*D180</f>
        <v>427.77770071285823</v>
      </c>
      <c r="F180" s="260"/>
    </row>
    <row r="181" spans="1:6" ht="15.75" x14ac:dyDescent="0.2">
      <c r="A181" s="285" t="s">
        <v>229</v>
      </c>
      <c r="B181" s="234" t="s">
        <v>18</v>
      </c>
      <c r="C181" s="235">
        <v>6.5</v>
      </c>
      <c r="D181" s="375">
        <v>64.057388772136164</v>
      </c>
      <c r="E181" s="244"/>
      <c r="F181" s="260"/>
    </row>
    <row r="182" spans="1:6" ht="15.75" x14ac:dyDescent="0.2">
      <c r="A182" s="69" t="s">
        <v>20</v>
      </c>
      <c r="B182" s="228" t="s">
        <v>17</v>
      </c>
      <c r="C182" s="388">
        <f>C178</f>
        <v>2088</v>
      </c>
      <c r="D182" s="230">
        <f>+C181*D181/1000</f>
        <v>0.41637302701888507</v>
      </c>
      <c r="E182" s="243">
        <f>C182*D182</f>
        <v>869.38688041543207</v>
      </c>
      <c r="F182" s="260"/>
    </row>
    <row r="183" spans="1:6" ht="15.75" x14ac:dyDescent="0.2">
      <c r="A183" s="70" t="s">
        <v>230</v>
      </c>
      <c r="B183" s="237" t="s">
        <v>18</v>
      </c>
      <c r="C183" s="238">
        <v>10</v>
      </c>
      <c r="D183" s="374">
        <v>11.404673693973072</v>
      </c>
      <c r="E183" s="242"/>
      <c r="F183" s="260"/>
    </row>
    <row r="184" spans="1:6" ht="15.75" x14ac:dyDescent="0.2">
      <c r="A184" s="69" t="s">
        <v>21</v>
      </c>
      <c r="B184" s="228" t="s">
        <v>17</v>
      </c>
      <c r="C184" s="388">
        <f>C178</f>
        <v>2088</v>
      </c>
      <c r="D184" s="230">
        <f>+C183*D183/1000</f>
        <v>0.11404673693973072</v>
      </c>
      <c r="E184" s="243">
        <f>C184*D184</f>
        <v>238.12958673015774</v>
      </c>
      <c r="F184" s="260"/>
    </row>
    <row r="185" spans="1:6" ht="15.75" x14ac:dyDescent="0.2">
      <c r="A185" s="70" t="s">
        <v>22</v>
      </c>
      <c r="B185" s="237" t="s">
        <v>23</v>
      </c>
      <c r="C185" s="238">
        <v>2</v>
      </c>
      <c r="D185" s="374">
        <v>27.180000779648395</v>
      </c>
      <c r="E185" s="242"/>
      <c r="F185" s="260"/>
    </row>
    <row r="186" spans="1:6" ht="15.75" x14ac:dyDescent="0.2">
      <c r="A186" s="69" t="s">
        <v>24</v>
      </c>
      <c r="B186" s="228" t="s">
        <v>17</v>
      </c>
      <c r="C186" s="388">
        <f>C178</f>
        <v>2088</v>
      </c>
      <c r="D186" s="230">
        <f>+C185*D185/1000</f>
        <v>5.4360001559296788E-2</v>
      </c>
      <c r="E186" s="243">
        <f>C186*D186</f>
        <v>113.50368325581169</v>
      </c>
      <c r="F186" s="260"/>
    </row>
    <row r="187" spans="1:6" ht="15.75" x14ac:dyDescent="0.2">
      <c r="A187" s="275" t="s">
        <v>240</v>
      </c>
      <c r="B187" s="120" t="s">
        <v>118</v>
      </c>
      <c r="C187" s="203"/>
      <c r="D187" s="204">
        <f>IFERROR(D178+D180+D182+D184+D186,0)</f>
        <v>3.8475488800960607</v>
      </c>
      <c r="E187" s="214"/>
      <c r="F187" s="260"/>
    </row>
    <row r="188" spans="1:6" ht="16.5" thickBot="1" x14ac:dyDescent="0.25">
      <c r="A188" s="509" t="str">
        <f>F176</f>
        <v>Total (R$)</v>
      </c>
      <c r="B188" s="510"/>
      <c r="C188" s="510"/>
      <c r="D188" s="510"/>
      <c r="E188" s="511"/>
      <c r="F188" s="211">
        <f>SUM(E177:E186)</f>
        <v>8033.6820616405748</v>
      </c>
    </row>
    <row r="189" spans="1:6" ht="15.75" x14ac:dyDescent="0.2">
      <c r="A189" s="98"/>
      <c r="B189" s="98"/>
      <c r="C189" s="98"/>
      <c r="D189" s="130"/>
      <c r="E189" s="130"/>
      <c r="F189" s="130"/>
    </row>
    <row r="190" spans="1:6" ht="16.5" thickBot="1" x14ac:dyDescent="0.25">
      <c r="A190" s="220" t="s">
        <v>342</v>
      </c>
      <c r="B190" s="98"/>
      <c r="C190" s="98"/>
      <c r="D190" s="130"/>
      <c r="E190" s="130"/>
      <c r="F190" s="130"/>
    </row>
    <row r="191" spans="1:6" ht="16.5" thickBot="1" x14ac:dyDescent="0.25">
      <c r="A191" s="166" t="s">
        <v>65</v>
      </c>
      <c r="B191" s="167" t="s">
        <v>66</v>
      </c>
      <c r="C191" s="167" t="s">
        <v>41</v>
      </c>
      <c r="D191" s="168" t="s">
        <v>227</v>
      </c>
      <c r="E191" s="168" t="s">
        <v>67</v>
      </c>
      <c r="F191" s="169" t="s">
        <v>300</v>
      </c>
    </row>
    <row r="192" spans="1:6" ht="15.75" x14ac:dyDescent="0.2">
      <c r="A192" s="251" t="s">
        <v>116</v>
      </c>
      <c r="B192" s="37" t="s">
        <v>118</v>
      </c>
      <c r="C192" s="173">
        <f>C178</f>
        <v>2088</v>
      </c>
      <c r="D192" s="370">
        <v>0.74</v>
      </c>
      <c r="E192" s="215">
        <f>C192*D192</f>
        <v>1545.12</v>
      </c>
      <c r="F192" s="259"/>
    </row>
    <row r="193" spans="1:6" ht="16.5" thickBot="1" x14ac:dyDescent="0.25">
      <c r="A193" s="509" t="str">
        <f>F191</f>
        <v>Total (R$)</v>
      </c>
      <c r="B193" s="510"/>
      <c r="C193" s="510"/>
      <c r="D193" s="510"/>
      <c r="E193" s="511"/>
      <c r="F193" s="211">
        <f>E192</f>
        <v>1545.12</v>
      </c>
    </row>
    <row r="194" spans="1:6" ht="15.75" x14ac:dyDescent="0.2">
      <c r="A194" s="98"/>
      <c r="B194" s="98"/>
      <c r="C194" s="98"/>
      <c r="D194" s="130"/>
      <c r="E194" s="130"/>
      <c r="F194" s="130"/>
    </row>
    <row r="195" spans="1:6" ht="16.5" thickBot="1" x14ac:dyDescent="0.25">
      <c r="A195" s="220" t="s">
        <v>343</v>
      </c>
      <c r="B195" s="98"/>
      <c r="C195" s="98"/>
      <c r="D195" s="130"/>
      <c r="E195" s="130"/>
      <c r="F195" s="130"/>
    </row>
    <row r="196" spans="1:6" ht="16.5" thickBot="1" x14ac:dyDescent="0.25">
      <c r="A196" s="166" t="s">
        <v>65</v>
      </c>
      <c r="B196" s="167" t="s">
        <v>66</v>
      </c>
      <c r="C196" s="167" t="s">
        <v>41</v>
      </c>
      <c r="D196" s="168" t="s">
        <v>227</v>
      </c>
      <c r="E196" s="168" t="s">
        <v>67</v>
      </c>
      <c r="F196" s="169" t="s">
        <v>300</v>
      </c>
    </row>
    <row r="197" spans="1:6" ht="15.75" x14ac:dyDescent="0.2">
      <c r="A197" s="251" t="s">
        <v>310</v>
      </c>
      <c r="B197" s="37" t="s">
        <v>9</v>
      </c>
      <c r="C197" s="205">
        <v>6</v>
      </c>
      <c r="D197" s="370">
        <v>1709.67</v>
      </c>
      <c r="E197" s="215">
        <f>C197*D197</f>
        <v>10258.02</v>
      </c>
      <c r="F197" s="259"/>
    </row>
    <row r="198" spans="1:6" ht="15.75" x14ac:dyDescent="0.2">
      <c r="A198" s="251" t="s">
        <v>119</v>
      </c>
      <c r="B198" s="37" t="s">
        <v>9</v>
      </c>
      <c r="C198" s="205">
        <v>1</v>
      </c>
      <c r="D198" s="206"/>
      <c r="E198" s="215"/>
      <c r="F198" s="260"/>
    </row>
    <row r="199" spans="1:6" ht="15.75" x14ac:dyDescent="0.2">
      <c r="A199" s="251" t="s">
        <v>72</v>
      </c>
      <c r="B199" s="37" t="s">
        <v>9</v>
      </c>
      <c r="C199" s="171">
        <f>C197*C198</f>
        <v>6</v>
      </c>
      <c r="D199" s="370">
        <v>751.20605169882504</v>
      </c>
      <c r="E199" s="215">
        <f>C199*D199</f>
        <v>4507.2363101929504</v>
      </c>
      <c r="F199" s="260"/>
    </row>
    <row r="200" spans="1:6" ht="15.75" x14ac:dyDescent="0.2">
      <c r="A200" s="31" t="s">
        <v>309</v>
      </c>
      <c r="B200" s="25" t="s">
        <v>25</v>
      </c>
      <c r="C200" s="207">
        <v>50000</v>
      </c>
      <c r="D200" s="173">
        <f>E197+E199</f>
        <v>14765.256310192952</v>
      </c>
      <c r="E200" s="214">
        <f>IFERROR(D200/C200,"-")</f>
        <v>0.29530512620385901</v>
      </c>
      <c r="F200" s="260"/>
    </row>
    <row r="201" spans="1:6" ht="15.75" x14ac:dyDescent="0.2">
      <c r="A201" s="31" t="s">
        <v>56</v>
      </c>
      <c r="B201" s="25" t="s">
        <v>17</v>
      </c>
      <c r="C201" s="173">
        <f>B174</f>
        <v>2088</v>
      </c>
      <c r="D201" s="173">
        <f>E200</f>
        <v>0.29530512620385901</v>
      </c>
      <c r="E201" s="214">
        <f>IFERROR(C201*D201,0)</f>
        <v>616.59710351365766</v>
      </c>
      <c r="F201" s="260"/>
    </row>
    <row r="202" spans="1:6" ht="16.5" thickBot="1" x14ac:dyDescent="0.25">
      <c r="A202" s="509" t="str">
        <f>F196</f>
        <v>Total (R$)</v>
      </c>
      <c r="B202" s="510"/>
      <c r="C202" s="510"/>
      <c r="D202" s="510"/>
      <c r="E202" s="511"/>
      <c r="F202" s="211">
        <f>E201</f>
        <v>616.59710351365766</v>
      </c>
    </row>
    <row r="203" spans="1:6" ht="15.75" x14ac:dyDescent="0.2">
      <c r="A203" s="98"/>
      <c r="B203" s="98"/>
      <c r="C203" s="98"/>
      <c r="D203" s="130"/>
      <c r="E203" s="130"/>
      <c r="F203" s="130"/>
    </row>
    <row r="204" spans="1:6" ht="16.5" thickBot="1" x14ac:dyDescent="0.25">
      <c r="A204" s="98"/>
      <c r="B204" s="98"/>
      <c r="C204" s="98"/>
      <c r="D204" s="130"/>
      <c r="E204" s="130"/>
      <c r="F204" s="130"/>
    </row>
    <row r="205" spans="1:6" ht="16.5" thickBot="1" x14ac:dyDescent="0.25">
      <c r="A205" s="217" t="s">
        <v>219</v>
      </c>
      <c r="B205" s="218"/>
      <c r="C205" s="218"/>
      <c r="D205" s="156"/>
      <c r="E205" s="156"/>
      <c r="F205" s="213">
        <f>+SUM(F134:F204)</f>
        <v>19857.791319220909</v>
      </c>
    </row>
    <row r="206" spans="1:6" ht="15.75" x14ac:dyDescent="0.2">
      <c r="A206" s="98"/>
      <c r="B206" s="98"/>
      <c r="C206" s="98"/>
      <c r="D206" s="130"/>
      <c r="E206" s="130"/>
      <c r="F206" s="130"/>
    </row>
    <row r="207" spans="1:6" ht="15.75" x14ac:dyDescent="0.2">
      <c r="A207" s="107" t="s">
        <v>75</v>
      </c>
      <c r="B207" s="107"/>
      <c r="C207" s="107"/>
      <c r="D207" s="128"/>
      <c r="E207" s="128"/>
      <c r="F207" s="208"/>
    </row>
    <row r="208" spans="1:6" ht="16.5" thickBot="1" x14ac:dyDescent="0.25">
      <c r="A208" s="98"/>
      <c r="B208" s="98"/>
      <c r="C208" s="98"/>
      <c r="D208" s="130"/>
      <c r="E208" s="130"/>
      <c r="F208" s="130"/>
    </row>
    <row r="209" spans="1:6" ht="16.5" thickBot="1" x14ac:dyDescent="0.25">
      <c r="A209" s="166" t="s">
        <v>65</v>
      </c>
      <c r="B209" s="167" t="s">
        <v>66</v>
      </c>
      <c r="C209" s="167" t="s">
        <v>41</v>
      </c>
      <c r="D209" s="168" t="s">
        <v>227</v>
      </c>
      <c r="E209" s="168" t="s">
        <v>67</v>
      </c>
      <c r="F209" s="169" t="s">
        <v>300</v>
      </c>
    </row>
    <row r="210" spans="1:6" ht="15.75" x14ac:dyDescent="0.2">
      <c r="A210" s="31" t="s">
        <v>73</v>
      </c>
      <c r="B210" s="25" t="s">
        <v>9</v>
      </c>
      <c r="C210" s="191">
        <v>2</v>
      </c>
      <c r="D210" s="370">
        <v>39.472463443810987</v>
      </c>
      <c r="E210" s="214">
        <f>C210*D210/12</f>
        <v>6.5787439073018312</v>
      </c>
      <c r="F210" s="279"/>
    </row>
    <row r="211" spans="1:6" ht="15.75" x14ac:dyDescent="0.2">
      <c r="A211" s="31" t="s">
        <v>27</v>
      </c>
      <c r="B211" s="25" t="s">
        <v>9</v>
      </c>
      <c r="C211" s="191">
        <v>4</v>
      </c>
      <c r="D211" s="370">
        <v>29.911659149462309</v>
      </c>
      <c r="E211" s="214">
        <f t="shared" ref="E211:E214" si="5">C211*D211/12</f>
        <v>9.9705530498207704</v>
      </c>
      <c r="F211" s="273"/>
    </row>
    <row r="212" spans="1:6" ht="15.75" x14ac:dyDescent="0.2">
      <c r="A212" s="31" t="s">
        <v>28</v>
      </c>
      <c r="B212" s="25" t="s">
        <v>9</v>
      </c>
      <c r="C212" s="191">
        <v>6</v>
      </c>
      <c r="D212" s="170">
        <v>24.9</v>
      </c>
      <c r="E212" s="214">
        <f t="shared" si="5"/>
        <v>12.449999999999998</v>
      </c>
      <c r="F212" s="273"/>
    </row>
    <row r="213" spans="1:6" ht="15.75" x14ac:dyDescent="0.2">
      <c r="A213" s="31" t="s">
        <v>58</v>
      </c>
      <c r="B213" s="25" t="s">
        <v>59</v>
      </c>
      <c r="C213" s="191">
        <v>1</v>
      </c>
      <c r="D213" s="370">
        <v>286.8241288304605</v>
      </c>
      <c r="E213" s="214">
        <f t="shared" si="5"/>
        <v>23.902010735871709</v>
      </c>
      <c r="F213" s="273"/>
    </row>
    <row r="214" spans="1:6" ht="15.75" x14ac:dyDescent="0.2">
      <c r="A214" s="31" t="s">
        <v>61</v>
      </c>
      <c r="B214" s="25" t="s">
        <v>59</v>
      </c>
      <c r="C214" s="191">
        <v>1</v>
      </c>
      <c r="D214" s="370">
        <v>245.84925328325184</v>
      </c>
      <c r="E214" s="214">
        <f t="shared" si="5"/>
        <v>20.48743777360432</v>
      </c>
      <c r="F214" s="273"/>
    </row>
    <row r="215" spans="1:6" ht="16.5" thickBot="1" x14ac:dyDescent="0.25">
      <c r="A215" s="509" t="s">
        <v>337</v>
      </c>
      <c r="B215" s="497"/>
      <c r="C215" s="286"/>
      <c r="D215" s="257" t="s">
        <v>301</v>
      </c>
      <c r="E215" s="350">
        <f>$B$41</f>
        <v>1</v>
      </c>
      <c r="F215" s="211">
        <f>(E210+E211+E212+E213+E214)*E215</f>
        <v>73.388745466598635</v>
      </c>
    </row>
    <row r="216" spans="1:6" ht="16.5" thickBot="1" x14ac:dyDescent="0.25">
      <c r="A216" s="98"/>
      <c r="B216" s="98"/>
      <c r="C216" s="98"/>
      <c r="D216" s="130"/>
      <c r="E216" s="130"/>
      <c r="F216" s="130"/>
    </row>
    <row r="217" spans="1:6" ht="16.5" thickBot="1" x14ac:dyDescent="0.25">
      <c r="A217" s="528" t="s">
        <v>220</v>
      </c>
      <c r="B217" s="529"/>
      <c r="C217" s="529"/>
      <c r="D217" s="529"/>
      <c r="E217" s="529"/>
      <c r="F217" s="178">
        <f>+F215</f>
        <v>73.388745466598635</v>
      </c>
    </row>
    <row r="218" spans="1:6" ht="15.75" x14ac:dyDescent="0.2">
      <c r="A218" s="98"/>
      <c r="B218" s="98"/>
      <c r="C218" s="98"/>
      <c r="D218" s="130"/>
      <c r="E218" s="130"/>
      <c r="F218" s="130"/>
    </row>
    <row r="219" spans="1:6" ht="15.75" x14ac:dyDescent="0.2">
      <c r="A219" s="107" t="s">
        <v>76</v>
      </c>
      <c r="B219" s="107"/>
      <c r="C219" s="107"/>
      <c r="D219" s="128"/>
      <c r="E219" s="128"/>
      <c r="F219" s="208"/>
    </row>
    <row r="220" spans="1:6" ht="16.5" thickBot="1" x14ac:dyDescent="0.25">
      <c r="A220" s="98"/>
      <c r="B220" s="98"/>
      <c r="C220" s="98"/>
      <c r="D220" s="130"/>
      <c r="E220" s="130"/>
      <c r="F220" s="130"/>
    </row>
    <row r="221" spans="1:6" ht="16.5" thickBot="1" x14ac:dyDescent="0.25">
      <c r="A221" s="166" t="s">
        <v>65</v>
      </c>
      <c r="B221" s="167" t="s">
        <v>66</v>
      </c>
      <c r="C221" s="167" t="s">
        <v>41</v>
      </c>
      <c r="D221" s="168" t="s">
        <v>227</v>
      </c>
      <c r="E221" s="168" t="s">
        <v>67</v>
      </c>
      <c r="F221" s="169" t="s">
        <v>300</v>
      </c>
    </row>
    <row r="222" spans="1:6" ht="15.75" x14ac:dyDescent="0.2">
      <c r="A222" s="31" t="s">
        <v>217</v>
      </c>
      <c r="B222" s="25" t="s">
        <v>59</v>
      </c>
      <c r="C222" s="192">
        <f>C134</f>
        <v>1</v>
      </c>
      <c r="D222" s="367">
        <v>1160.9548071709116</v>
      </c>
      <c r="E222" s="214">
        <f>+D222*C222</f>
        <v>1160.9548071709116</v>
      </c>
      <c r="F222" s="279"/>
    </row>
    <row r="223" spans="1:6" ht="15.75" x14ac:dyDescent="0.2">
      <c r="A223" s="31" t="s">
        <v>62</v>
      </c>
      <c r="B223" s="25" t="s">
        <v>7</v>
      </c>
      <c r="C223" s="25">
        <v>60</v>
      </c>
      <c r="D223" s="173">
        <f>SUM(E222:E222)</f>
        <v>1160.9548071709116</v>
      </c>
      <c r="E223" s="214">
        <f>+D223/C223</f>
        <v>19.349246786181862</v>
      </c>
      <c r="F223" s="273"/>
    </row>
    <row r="224" spans="1:6" ht="15.75" x14ac:dyDescent="0.2">
      <c r="A224" s="31" t="s">
        <v>218</v>
      </c>
      <c r="B224" s="25" t="s">
        <v>9</v>
      </c>
      <c r="C224" s="192">
        <f>+C222</f>
        <v>1</v>
      </c>
      <c r="D224" s="367">
        <v>102.43718886802201</v>
      </c>
      <c r="E224" s="214">
        <f>C224*D224</f>
        <v>102.43718886802201</v>
      </c>
      <c r="F224" s="273"/>
    </row>
    <row r="225" spans="1:6" ht="15.75" x14ac:dyDescent="0.2">
      <c r="A225" s="31" t="s">
        <v>38</v>
      </c>
      <c r="B225" s="25" t="s">
        <v>7</v>
      </c>
      <c r="C225" s="25">
        <v>1</v>
      </c>
      <c r="D225" s="173">
        <f>+E224</f>
        <v>102.43718886802201</v>
      </c>
      <c r="E225" s="214">
        <f>+D225/C225</f>
        <v>102.43718886802201</v>
      </c>
      <c r="F225" s="273"/>
    </row>
    <row r="226" spans="1:6" ht="16.5" thickBot="1" x14ac:dyDescent="0.25">
      <c r="A226" s="509" t="str">
        <f>F221</f>
        <v>Total (R$)</v>
      </c>
      <c r="B226" s="497"/>
      <c r="C226" s="286"/>
      <c r="D226" s="257" t="s">
        <v>301</v>
      </c>
      <c r="E226" s="350">
        <f>$B$41</f>
        <v>1</v>
      </c>
      <c r="F226" s="211">
        <f>(E223+E225)*E226</f>
        <v>121.78643565420387</v>
      </c>
    </row>
    <row r="227" spans="1:6" ht="16.5" thickBot="1" x14ac:dyDescent="0.25">
      <c r="A227" s="98"/>
      <c r="B227" s="98"/>
      <c r="C227" s="98"/>
      <c r="D227" s="130"/>
      <c r="E227" s="130"/>
      <c r="F227" s="130"/>
    </row>
    <row r="228" spans="1:6" ht="16.5" thickBot="1" x14ac:dyDescent="0.25">
      <c r="A228" s="217" t="s">
        <v>216</v>
      </c>
      <c r="B228" s="218"/>
      <c r="C228" s="218"/>
      <c r="D228" s="156"/>
      <c r="E228" s="156"/>
      <c r="F228" s="178">
        <f>+F226</f>
        <v>121.78643565420387</v>
      </c>
    </row>
    <row r="229" spans="1:6" ht="16.5" thickBot="1" x14ac:dyDescent="0.25">
      <c r="A229" s="98"/>
      <c r="B229" s="98"/>
      <c r="C229" s="98"/>
      <c r="D229" s="130"/>
      <c r="E229" s="130"/>
      <c r="F229" s="130"/>
    </row>
    <row r="230" spans="1:6" ht="16.5" thickBot="1" x14ac:dyDescent="0.25">
      <c r="A230" s="217" t="s">
        <v>221</v>
      </c>
      <c r="B230" s="271"/>
      <c r="C230" s="271"/>
      <c r="D230" s="272"/>
      <c r="E230" s="272"/>
      <c r="F230" s="219">
        <f>+F92+F126+F205+F217+F228</f>
        <v>39415.569247266067</v>
      </c>
    </row>
    <row r="231" spans="1:6" ht="15.75" x14ac:dyDescent="0.2">
      <c r="A231" s="98"/>
      <c r="B231" s="98"/>
      <c r="C231" s="98"/>
      <c r="D231" s="130"/>
      <c r="E231" s="130"/>
      <c r="F231" s="130"/>
    </row>
    <row r="232" spans="1:6" ht="15.75" x14ac:dyDescent="0.2">
      <c r="A232" s="107" t="s">
        <v>90</v>
      </c>
      <c r="B232" s="98"/>
      <c r="C232" s="98"/>
      <c r="D232" s="130"/>
      <c r="E232" s="130"/>
      <c r="F232" s="130"/>
    </row>
    <row r="233" spans="1:6" ht="16.5" thickBot="1" x14ac:dyDescent="0.25">
      <c r="A233" s="98"/>
      <c r="B233" s="98"/>
      <c r="C233" s="98"/>
      <c r="D233" s="130"/>
      <c r="E233" s="130"/>
      <c r="F233" s="130"/>
    </row>
    <row r="234" spans="1:6" ht="16.5" thickBot="1" x14ac:dyDescent="0.25">
      <c r="A234" s="166" t="s">
        <v>65</v>
      </c>
      <c r="B234" s="167" t="s">
        <v>66</v>
      </c>
      <c r="C234" s="167" t="s">
        <v>41</v>
      </c>
      <c r="D234" s="168" t="s">
        <v>227</v>
      </c>
      <c r="E234" s="168" t="s">
        <v>67</v>
      </c>
      <c r="F234" s="169" t="s">
        <v>300</v>
      </c>
    </row>
    <row r="235" spans="1:6" ht="15.75" x14ac:dyDescent="0.2">
      <c r="A235" s="251" t="s">
        <v>37</v>
      </c>
      <c r="B235" s="37" t="s">
        <v>2</v>
      </c>
      <c r="C235" s="416">
        <f>SUM('4.BDI'!B14:C14)</f>
        <v>0.21820000000000001</v>
      </c>
      <c r="D235" s="171">
        <f>+F230</f>
        <v>39415.569247266067</v>
      </c>
      <c r="E235" s="215">
        <f>C235*D235</f>
        <v>8600.4772097534551</v>
      </c>
      <c r="F235" s="259"/>
    </row>
    <row r="236" spans="1:6" ht="16.5" thickBot="1" x14ac:dyDescent="0.25">
      <c r="A236" s="509" t="str">
        <f>F234</f>
        <v>Total (R$)</v>
      </c>
      <c r="B236" s="497"/>
      <c r="C236" s="497"/>
      <c r="D236" s="497"/>
      <c r="E236" s="497"/>
      <c r="F236" s="268">
        <f>+E235</f>
        <v>8600.4772097534551</v>
      </c>
    </row>
    <row r="237" spans="1:6" ht="16.5" thickBot="1" x14ac:dyDescent="0.25">
      <c r="A237" s="98"/>
      <c r="B237" s="98"/>
      <c r="C237" s="98"/>
      <c r="D237" s="130"/>
      <c r="E237" s="130"/>
      <c r="F237" s="130"/>
    </row>
    <row r="238" spans="1:6" ht="16.5" thickBot="1" x14ac:dyDescent="0.25">
      <c r="A238" s="217" t="s">
        <v>232</v>
      </c>
      <c r="B238" s="271"/>
      <c r="C238" s="271"/>
      <c r="D238" s="272"/>
      <c r="E238" s="272"/>
      <c r="F238" s="219">
        <f>F236</f>
        <v>8600.4772097534551</v>
      </c>
    </row>
    <row r="239" spans="1:6" ht="15.75" x14ac:dyDescent="0.2">
      <c r="A239" s="107"/>
      <c r="B239" s="107"/>
      <c r="C239" s="107"/>
      <c r="D239" s="128"/>
      <c r="E239" s="128"/>
      <c r="F239" s="208"/>
    </row>
    <row r="240" spans="1:6" ht="16.5" thickBot="1" x14ac:dyDescent="0.25">
      <c r="A240" s="98"/>
      <c r="B240" s="98"/>
      <c r="C240" s="98"/>
      <c r="D240" s="130"/>
      <c r="E240" s="130"/>
      <c r="F240" s="130"/>
    </row>
    <row r="241" spans="1:6" ht="16.5" thickBot="1" x14ac:dyDescent="0.25">
      <c r="A241" s="217" t="s">
        <v>222</v>
      </c>
      <c r="B241" s="271"/>
      <c r="C241" s="271"/>
      <c r="D241" s="272"/>
      <c r="E241" s="272"/>
      <c r="F241" s="219">
        <f>F230+F238</f>
        <v>48016.046457019518</v>
      </c>
    </row>
    <row r="242" spans="1:6" ht="15.75" x14ac:dyDescent="0.2">
      <c r="A242" s="107"/>
      <c r="B242" s="107"/>
      <c r="C242" s="107"/>
      <c r="D242" s="128"/>
      <c r="E242" s="128"/>
      <c r="F242" s="128"/>
    </row>
    <row r="243" spans="1:6" ht="16.5" thickBot="1" x14ac:dyDescent="0.25">
      <c r="A243" s="98"/>
      <c r="B243" s="98"/>
      <c r="C243" s="98"/>
      <c r="D243" s="130"/>
      <c r="E243" s="130"/>
      <c r="F243" s="130"/>
    </row>
    <row r="244" spans="1:6" ht="16.5" thickBot="1" x14ac:dyDescent="0.25">
      <c r="A244" s="186" t="s">
        <v>215</v>
      </c>
      <c r="B244" s="187"/>
      <c r="C244" s="187"/>
      <c r="D244" s="245">
        <f>SUM('1.7.Destino final'!D246)</f>
        <v>340</v>
      </c>
      <c r="E244" s="189" t="s">
        <v>26</v>
      </c>
      <c r="F244" s="130"/>
    </row>
    <row r="245" spans="1:6" ht="16.5" thickBot="1" x14ac:dyDescent="0.25">
      <c r="A245" s="98"/>
      <c r="B245" s="98"/>
      <c r="C245" s="98"/>
      <c r="D245" s="130"/>
      <c r="E245" s="130"/>
      <c r="F245" s="130"/>
    </row>
    <row r="246" spans="1:6" ht="16.5" thickBot="1" x14ac:dyDescent="0.25">
      <c r="A246" s="217" t="s">
        <v>71</v>
      </c>
      <c r="B246" s="218"/>
      <c r="C246" s="218"/>
      <c r="D246" s="156"/>
      <c r="E246" s="287" t="s">
        <v>33</v>
      </c>
      <c r="F246" s="288">
        <f>IFERROR(F241/D244,"-")</f>
        <v>141.2236660500574</v>
      </c>
    </row>
  </sheetData>
  <mergeCells count="51">
    <mergeCell ref="A42:F42"/>
    <mergeCell ref="A1:F1"/>
    <mergeCell ref="A2:F2"/>
    <mergeCell ref="A3:F3"/>
    <mergeCell ref="A4:F4"/>
    <mergeCell ref="A5:F5"/>
    <mergeCell ref="A6:F6"/>
    <mergeCell ref="A8:F8"/>
    <mergeCell ref="A16:C16"/>
    <mergeCell ref="A31:E31"/>
    <mergeCell ref="A32:D32"/>
    <mergeCell ref="A37:D37"/>
    <mergeCell ref="A56:F56"/>
    <mergeCell ref="A43:F43"/>
    <mergeCell ref="A44:F44"/>
    <mergeCell ref="A45:F45"/>
    <mergeCell ref="A51:D51"/>
    <mergeCell ref="A53:D53"/>
    <mergeCell ref="A55:C55"/>
    <mergeCell ref="A90:C90"/>
    <mergeCell ref="A71:F71"/>
    <mergeCell ref="A77:E77"/>
    <mergeCell ref="A57:F57"/>
    <mergeCell ref="A65:D65"/>
    <mergeCell ref="A67:D67"/>
    <mergeCell ref="A69:C69"/>
    <mergeCell ref="A70:F70"/>
    <mergeCell ref="A78:F78"/>
    <mergeCell ref="A79:F79"/>
    <mergeCell ref="A84:C84"/>
    <mergeCell ref="A85:F85"/>
    <mergeCell ref="A86:F86"/>
    <mergeCell ref="A162:C162"/>
    <mergeCell ref="A93:F93"/>
    <mergeCell ref="A94:F94"/>
    <mergeCell ref="A95:F95"/>
    <mergeCell ref="A96:F96"/>
    <mergeCell ref="A97:F97"/>
    <mergeCell ref="A111:C111"/>
    <mergeCell ref="A112:F112"/>
    <mergeCell ref="A113:F113"/>
    <mergeCell ref="A114:F114"/>
    <mergeCell ref="A124:C124"/>
    <mergeCell ref="A146:C146"/>
    <mergeCell ref="A236:E236"/>
    <mergeCell ref="A188:E188"/>
    <mergeCell ref="A193:E193"/>
    <mergeCell ref="A202:E202"/>
    <mergeCell ref="A215:B215"/>
    <mergeCell ref="A217:E217"/>
    <mergeCell ref="A226:B226"/>
  </mergeCells>
  <hyperlinks>
    <hyperlink ref="A148" location="AbaRemun" display="3.1.2. Remuneração do Capital" xr:uid="{0FF7B2AC-AB41-4B1B-A695-F401EEB27D04}"/>
    <hyperlink ref="A132" location="AbaDeprec" display="3.1.1. Depreciação" xr:uid="{35807EB4-5B12-4F18-A5AC-FE9962117BEE}"/>
  </hyperlinks>
  <pageMargins left="0.511811024" right="0.511811024" top="0.78740157499999996" bottom="0.78740157499999996" header="0.31496062000000002" footer="0.31496062000000002"/>
  <pageSetup paperSize="9" scale="6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0F7C-4023-49AE-AF69-E3A6AB36B188}">
  <dimension ref="A1:F246"/>
  <sheetViews>
    <sheetView topLeftCell="A173" workbookViewId="0">
      <selection activeCell="D178" sqref="D178"/>
    </sheetView>
  </sheetViews>
  <sheetFormatPr defaultRowHeight="12.75" x14ac:dyDescent="0.2"/>
  <cols>
    <col min="1" max="1" width="49.28515625" customWidth="1"/>
    <col min="2" max="2" width="19.85546875" customWidth="1"/>
    <col min="3" max="3" width="16.42578125" customWidth="1"/>
    <col min="4" max="4" width="14.7109375" customWidth="1"/>
    <col min="5" max="5" width="15.42578125" customWidth="1"/>
    <col min="6" max="6" width="13.28515625" customWidth="1"/>
  </cols>
  <sheetData>
    <row r="1" spans="1:6" ht="15.75" x14ac:dyDescent="0.2">
      <c r="A1" s="466" t="s">
        <v>197</v>
      </c>
      <c r="B1" s="466"/>
      <c r="C1" s="466"/>
      <c r="D1" s="466"/>
      <c r="E1" s="466"/>
      <c r="F1" s="466"/>
    </row>
    <row r="2" spans="1:6" ht="15.75" x14ac:dyDescent="0.2">
      <c r="A2" s="467" t="s">
        <v>298</v>
      </c>
      <c r="B2" s="467"/>
      <c r="C2" s="467"/>
      <c r="D2" s="467"/>
      <c r="E2" s="467"/>
      <c r="F2" s="467"/>
    </row>
    <row r="3" spans="1:6" ht="15.75" x14ac:dyDescent="0.2">
      <c r="A3" s="519" t="s">
        <v>299</v>
      </c>
      <c r="B3" s="519"/>
      <c r="C3" s="519"/>
      <c r="D3" s="519"/>
      <c r="E3" s="519"/>
      <c r="F3" s="519"/>
    </row>
    <row r="4" spans="1:6" ht="16.5" thickBot="1" x14ac:dyDescent="0.25">
      <c r="A4" s="468"/>
      <c r="B4" s="468"/>
      <c r="C4" s="468"/>
      <c r="D4" s="468"/>
      <c r="E4" s="468"/>
      <c r="F4" s="468"/>
    </row>
    <row r="5" spans="1:6" ht="15.75" x14ac:dyDescent="0.2">
      <c r="A5" s="469" t="s">
        <v>556</v>
      </c>
      <c r="B5" s="470"/>
      <c r="C5" s="470"/>
      <c r="D5" s="470"/>
      <c r="E5" s="470"/>
      <c r="F5" s="471"/>
    </row>
    <row r="6" spans="1:6" ht="15.75" x14ac:dyDescent="0.2">
      <c r="A6" s="472" t="s">
        <v>44</v>
      </c>
      <c r="B6" s="473"/>
      <c r="C6" s="473"/>
      <c r="D6" s="473"/>
      <c r="E6" s="473"/>
      <c r="F6" s="474"/>
    </row>
    <row r="7" spans="1:6" ht="16.5" thickBot="1" x14ac:dyDescent="0.25">
      <c r="A7" s="131"/>
      <c r="B7" s="108"/>
      <c r="C7" s="108"/>
      <c r="D7" s="132"/>
      <c r="E7" s="132"/>
      <c r="F7" s="133"/>
    </row>
    <row r="8" spans="1:6" ht="16.5" thickBot="1" x14ac:dyDescent="0.25">
      <c r="A8" s="463" t="s">
        <v>196</v>
      </c>
      <c r="B8" s="464"/>
      <c r="C8" s="464"/>
      <c r="D8" s="464"/>
      <c r="E8" s="464"/>
      <c r="F8" s="465"/>
    </row>
    <row r="9" spans="1:6" ht="15.75" x14ac:dyDescent="0.2">
      <c r="A9" s="134" t="s">
        <v>195</v>
      </c>
      <c r="B9" s="135"/>
      <c r="C9" s="135"/>
      <c r="D9" s="136"/>
      <c r="E9" s="137" t="s">
        <v>39</v>
      </c>
      <c r="F9" s="138" t="s">
        <v>2</v>
      </c>
    </row>
    <row r="10" spans="1:6" ht="15.75" x14ac:dyDescent="0.2">
      <c r="A10" s="139" t="str">
        <f>A43</f>
        <v>1. Mão-de-obra</v>
      </c>
      <c r="B10" s="140"/>
      <c r="C10" s="141"/>
      <c r="D10" s="141"/>
      <c r="E10" s="142">
        <f>SUM(E11:E15)</f>
        <v>10480.568866372061</v>
      </c>
      <c r="F10" s="143">
        <f t="shared" ref="F10:F27" si="0">IFERROR(E10/$E$28,0)</f>
        <v>0.32933274136707708</v>
      </c>
    </row>
    <row r="11" spans="1:6" ht="15.75" x14ac:dyDescent="0.2">
      <c r="A11" s="144" t="str">
        <f>A45</f>
        <v>1.1. Coletor Turno Dia</v>
      </c>
      <c r="B11" s="145"/>
      <c r="C11" s="146"/>
      <c r="D11" s="146"/>
      <c r="E11" s="147">
        <f>F55</f>
        <v>6543.7391672442536</v>
      </c>
      <c r="F11" s="148">
        <f t="shared" si="0"/>
        <v>0.20562505587405763</v>
      </c>
    </row>
    <row r="12" spans="1:6" ht="15.75" x14ac:dyDescent="0.2">
      <c r="A12" s="144" t="str">
        <f>A57</f>
        <v>1.3. Motorista Turno do Dia</v>
      </c>
      <c r="B12" s="145"/>
      <c r="C12" s="146"/>
      <c r="D12" s="146"/>
      <c r="E12" s="147">
        <f>F69</f>
        <v>3147.983870965119</v>
      </c>
      <c r="F12" s="148">
        <f t="shared" si="0"/>
        <v>9.891964560537829E-2</v>
      </c>
    </row>
    <row r="13" spans="1:6" ht="15.75" x14ac:dyDescent="0.2">
      <c r="A13" s="144" t="str">
        <f>A71</f>
        <v>1.7. Vale Transporte</v>
      </c>
      <c r="B13" s="145"/>
      <c r="C13" s="146"/>
      <c r="D13" s="146"/>
      <c r="E13" s="147">
        <f>F77</f>
        <v>134.60000612873671</v>
      </c>
      <c r="F13" s="148">
        <f t="shared" si="0"/>
        <v>4.2295594420102139E-3</v>
      </c>
    </row>
    <row r="14" spans="1:6" ht="15.75" x14ac:dyDescent="0.2">
      <c r="A14" s="144" t="str">
        <f>A79</f>
        <v>1.8. Vale-refeição (diário)</v>
      </c>
      <c r="B14" s="145"/>
      <c r="C14" s="146"/>
      <c r="D14" s="146"/>
      <c r="E14" s="147">
        <f>F84</f>
        <v>571.98643199999992</v>
      </c>
      <c r="F14" s="148">
        <f t="shared" si="0"/>
        <v>1.797362930172133E-2</v>
      </c>
    </row>
    <row r="15" spans="1:6" ht="15.75" x14ac:dyDescent="0.2">
      <c r="A15" s="144" t="str">
        <f>A86</f>
        <v>1.9. Auxílio Alimentação (mensal)</v>
      </c>
      <c r="B15" s="145"/>
      <c r="C15" s="146"/>
      <c r="D15" s="146"/>
      <c r="E15" s="147">
        <f>F90</f>
        <v>82.259390033952414</v>
      </c>
      <c r="F15" s="148">
        <f t="shared" si="0"/>
        <v>2.5848511439096004E-3</v>
      </c>
    </row>
    <row r="16" spans="1:6" ht="15.75" x14ac:dyDescent="0.2">
      <c r="A16" s="512" t="str">
        <f>A94</f>
        <v>2. Uniformes e Equipamentos de Proteção Individual</v>
      </c>
      <c r="B16" s="513"/>
      <c r="C16" s="513"/>
      <c r="D16" s="141"/>
      <c r="E16" s="142">
        <f>+F126</f>
        <v>504.10109999999997</v>
      </c>
      <c r="F16" s="143">
        <f t="shared" si="0"/>
        <v>1.5840456687598412E-2</v>
      </c>
    </row>
    <row r="17" spans="1:6" ht="15.75" x14ac:dyDescent="0.2">
      <c r="A17" s="149" t="str">
        <f>A128</f>
        <v>3. Veículos e Equipamentos</v>
      </c>
      <c r="B17" s="150"/>
      <c r="C17" s="141"/>
      <c r="D17" s="141"/>
      <c r="E17" s="142">
        <f>E18</f>
        <v>14996.897966509006</v>
      </c>
      <c r="F17" s="143">
        <f t="shared" si="0"/>
        <v>0.47125013749586869</v>
      </c>
    </row>
    <row r="18" spans="1:6" ht="15.75" x14ac:dyDescent="0.2">
      <c r="A18" s="151" t="str">
        <f>A130</f>
        <v>3.3.1. Veículo Coletor Compactador 15 m³ (mínimo)</v>
      </c>
      <c r="B18" s="152"/>
      <c r="C18" s="146"/>
      <c r="D18" s="146"/>
      <c r="E18" s="147">
        <f>SUM(E19:E24)</f>
        <v>14996.897966509006</v>
      </c>
      <c r="F18" s="148">
        <f t="shared" si="0"/>
        <v>0.47125013749586869</v>
      </c>
    </row>
    <row r="19" spans="1:6" ht="15.75" x14ac:dyDescent="0.2">
      <c r="A19" s="151" t="str">
        <f>A132</f>
        <v>3.3.1. Depreciação</v>
      </c>
      <c r="B19" s="152"/>
      <c r="C19" s="146"/>
      <c r="D19" s="146"/>
      <c r="E19" s="147">
        <f>F146</f>
        <v>4056.6221307738633</v>
      </c>
      <c r="F19" s="148">
        <f t="shared" si="0"/>
        <v>0.1274719439423492</v>
      </c>
    </row>
    <row r="20" spans="1:6" ht="15.75" x14ac:dyDescent="0.2">
      <c r="A20" s="151" t="str">
        <f>A148</f>
        <v>3.3.2. Remuneração do Capital</v>
      </c>
      <c r="B20" s="152"/>
      <c r="C20" s="146"/>
      <c r="D20" s="146"/>
      <c r="E20" s="147">
        <f>F162</f>
        <v>2879.6767186131265</v>
      </c>
      <c r="F20" s="148">
        <f t="shared" si="0"/>
        <v>9.0488583213717957E-2</v>
      </c>
    </row>
    <row r="21" spans="1:6" ht="15.75" x14ac:dyDescent="0.2">
      <c r="A21" s="151" t="str">
        <f>A164</f>
        <v>3.3.3. Impostos e Seguros</v>
      </c>
      <c r="B21" s="152"/>
      <c r="C21" s="146"/>
      <c r="D21" s="146"/>
      <c r="E21" s="147">
        <f>F170</f>
        <v>474.61018317446076</v>
      </c>
      <c r="F21" s="148">
        <f t="shared" si="0"/>
        <v>1.491375847041039E-2</v>
      </c>
    </row>
    <row r="22" spans="1:6" ht="15.75" x14ac:dyDescent="0.2">
      <c r="A22" s="151" t="str">
        <f>A172</f>
        <v>3.3.4. Consumos</v>
      </c>
      <c r="B22" s="152"/>
      <c r="C22" s="146"/>
      <c r="D22" s="146"/>
      <c r="E22" s="147">
        <f>F188</f>
        <v>5977.5519401172396</v>
      </c>
      <c r="F22" s="148">
        <f t="shared" si="0"/>
        <v>0.18783365599737237</v>
      </c>
    </row>
    <row r="23" spans="1:6" ht="15.75" x14ac:dyDescent="0.2">
      <c r="A23" s="151" t="str">
        <f>A190</f>
        <v>3.3.5 Manutenção</v>
      </c>
      <c r="B23" s="152"/>
      <c r="C23" s="146"/>
      <c r="D23" s="146"/>
      <c r="E23" s="147">
        <f>F193</f>
        <v>1149.664</v>
      </c>
      <c r="F23" s="148">
        <f t="shared" si="0"/>
        <v>3.6126092161455597E-2</v>
      </c>
    </row>
    <row r="24" spans="1:6" ht="15.75" x14ac:dyDescent="0.2">
      <c r="A24" s="151" t="str">
        <f>A195</f>
        <v>3.3.6 Pneus</v>
      </c>
      <c r="B24" s="152"/>
      <c r="C24" s="146"/>
      <c r="D24" s="146"/>
      <c r="E24" s="147">
        <f>F202</f>
        <v>458.77299383031533</v>
      </c>
      <c r="F24" s="148">
        <f t="shared" si="0"/>
        <v>1.4416103710563148E-2</v>
      </c>
    </row>
    <row r="25" spans="1:6" ht="15.75" x14ac:dyDescent="0.2">
      <c r="A25" s="149" t="str">
        <f>A207</f>
        <v>4. Ferramentas e Materiais de Consumo</v>
      </c>
      <c r="B25" s="150"/>
      <c r="C25" s="141"/>
      <c r="D25" s="141"/>
      <c r="E25" s="142">
        <f>+F217</f>
        <v>53.368295703310523</v>
      </c>
      <c r="F25" s="143">
        <f t="shared" si="0"/>
        <v>1.6770012534771991E-3</v>
      </c>
    </row>
    <row r="26" spans="1:6" ht="15.75" x14ac:dyDescent="0.2">
      <c r="A26" s="149" t="str">
        <f>A219</f>
        <v>5. Monitoramento da Frota</v>
      </c>
      <c r="B26" s="150"/>
      <c r="C26" s="141"/>
      <c r="D26" s="141"/>
      <c r="E26" s="142">
        <f>+F228</f>
        <v>88.563096007737045</v>
      </c>
      <c r="F26" s="143">
        <f t="shared" si="0"/>
        <v>2.7829335949280387E-3</v>
      </c>
    </row>
    <row r="27" spans="1:6" ht="16.5" thickBot="1" x14ac:dyDescent="0.25">
      <c r="A27" s="149" t="str">
        <f>A232</f>
        <v>6. Benefícios e Despesas Indiretas - BDI</v>
      </c>
      <c r="B27" s="150"/>
      <c r="C27" s="141"/>
      <c r="D27" s="141"/>
      <c r="E27" s="153">
        <f>+F238</f>
        <v>5700.1475526259983</v>
      </c>
      <c r="F27" s="143">
        <f t="shared" si="0"/>
        <v>0.17911672960105071</v>
      </c>
    </row>
    <row r="28" spans="1:6" ht="16.5" thickBot="1" x14ac:dyDescent="0.25">
      <c r="A28" s="154" t="s">
        <v>231</v>
      </c>
      <c r="B28" s="155"/>
      <c r="C28" s="156"/>
      <c r="D28" s="156"/>
      <c r="E28" s="157">
        <f>E10+E16+E17+E25+E26+E27</f>
        <v>31823.646877218111</v>
      </c>
      <c r="F28" s="158">
        <f>F10+F16+F17+F25+F26+F27</f>
        <v>1.0000000000000002</v>
      </c>
    </row>
    <row r="29" spans="1:6" ht="15.75" x14ac:dyDescent="0.2">
      <c r="A29" s="98"/>
      <c r="B29" s="98"/>
      <c r="C29" s="98"/>
      <c r="D29" s="130"/>
      <c r="E29" s="130"/>
      <c r="F29" s="130"/>
    </row>
    <row r="30" spans="1:6" ht="16.5" thickBot="1" x14ac:dyDescent="0.25">
      <c r="A30" s="98"/>
      <c r="B30" s="98"/>
      <c r="C30" s="98"/>
      <c r="D30" s="130"/>
      <c r="E30" s="130"/>
      <c r="F30" s="130"/>
    </row>
    <row r="31" spans="1:6" ht="15.75" x14ac:dyDescent="0.2">
      <c r="A31" s="514" t="s">
        <v>95</v>
      </c>
      <c r="B31" s="515"/>
      <c r="C31" s="515"/>
      <c r="D31" s="515"/>
      <c r="E31" s="516"/>
      <c r="F31" s="130"/>
    </row>
    <row r="32" spans="1:6" ht="15.75" x14ac:dyDescent="0.2">
      <c r="A32" s="517" t="s">
        <v>40</v>
      </c>
      <c r="B32" s="518"/>
      <c r="C32" s="518"/>
      <c r="D32" s="518"/>
      <c r="E32" s="302" t="s">
        <v>41</v>
      </c>
      <c r="F32" s="130"/>
    </row>
    <row r="33" spans="1:6" ht="15.75" x14ac:dyDescent="0.2">
      <c r="A33" s="293" t="str">
        <f>+A45</f>
        <v>1.1. Coletor Turno Dia</v>
      </c>
      <c r="B33" s="177"/>
      <c r="C33" s="177"/>
      <c r="D33" s="32"/>
      <c r="E33" s="159">
        <v>2</v>
      </c>
      <c r="F33" s="130"/>
    </row>
    <row r="34" spans="1:6" ht="15.75" x14ac:dyDescent="0.2">
      <c r="A34" s="293" t="str">
        <f>+A57</f>
        <v>1.3. Motorista Turno do Dia</v>
      </c>
      <c r="B34" s="177"/>
      <c r="C34" s="177"/>
      <c r="D34" s="32"/>
      <c r="E34" s="159">
        <f>C68</f>
        <v>1</v>
      </c>
      <c r="F34" s="130"/>
    </row>
    <row r="35" spans="1:6" ht="15.75" x14ac:dyDescent="0.2">
      <c r="A35" s="294" t="s">
        <v>60</v>
      </c>
      <c r="B35" s="292"/>
      <c r="C35" s="292"/>
      <c r="D35" s="32"/>
      <c r="E35" s="295">
        <f>SUM(E33:E34)</f>
        <v>3</v>
      </c>
      <c r="F35" s="130"/>
    </row>
    <row r="36" spans="1:6" ht="15.75" x14ac:dyDescent="0.2">
      <c r="A36" s="294"/>
      <c r="B36" s="292"/>
      <c r="C36" s="177"/>
      <c r="D36" s="177"/>
      <c r="E36" s="296"/>
      <c r="F36" s="130"/>
    </row>
    <row r="37" spans="1:6" ht="15.75" x14ac:dyDescent="0.2">
      <c r="A37" s="521" t="s">
        <v>57</v>
      </c>
      <c r="B37" s="522"/>
      <c r="C37" s="522"/>
      <c r="D37" s="522"/>
      <c r="E37" s="302" t="s">
        <v>41</v>
      </c>
      <c r="F37" s="98"/>
    </row>
    <row r="38" spans="1:6" ht="16.5" thickBot="1" x14ac:dyDescent="0.25">
      <c r="A38" s="297" t="str">
        <f>+A130</f>
        <v>3.3.1. Veículo Coletor Compactador 15 m³ (mínimo)</v>
      </c>
      <c r="B38" s="298"/>
      <c r="C38" s="298"/>
      <c r="D38" s="111"/>
      <c r="E38" s="161">
        <f>C145</f>
        <v>1</v>
      </c>
      <c r="F38" s="98"/>
    </row>
    <row r="39" spans="1:6" ht="15.75" x14ac:dyDescent="0.2">
      <c r="A39" s="160"/>
      <c r="B39" s="160"/>
      <c r="C39" s="160"/>
      <c r="D39" s="98"/>
      <c r="E39" s="162"/>
      <c r="F39" s="98"/>
    </row>
    <row r="40" spans="1:6" ht="16.5" thickBot="1" x14ac:dyDescent="0.25">
      <c r="A40" s="160"/>
      <c r="B40" s="160"/>
      <c r="C40" s="160"/>
      <c r="D40" s="98"/>
      <c r="E40" s="163"/>
      <c r="F40" s="98"/>
    </row>
    <row r="41" spans="1:6" ht="16.5" thickBot="1" x14ac:dyDescent="0.25">
      <c r="A41" s="164" t="s">
        <v>352</v>
      </c>
      <c r="B41" s="346">
        <v>0.72719999999999996</v>
      </c>
      <c r="C41" s="128"/>
      <c r="D41" s="107"/>
      <c r="E41" s="165"/>
      <c r="F41" s="107"/>
    </row>
    <row r="42" spans="1:6" ht="15.75" x14ac:dyDescent="0.2">
      <c r="A42" s="520"/>
      <c r="B42" s="520"/>
      <c r="C42" s="520"/>
      <c r="D42" s="520"/>
      <c r="E42" s="520"/>
      <c r="F42" s="520"/>
    </row>
    <row r="43" spans="1:6" ht="15.75" x14ac:dyDescent="0.2">
      <c r="A43" s="505" t="s">
        <v>48</v>
      </c>
      <c r="B43" s="505"/>
      <c r="C43" s="505"/>
      <c r="D43" s="505"/>
      <c r="E43" s="505"/>
      <c r="F43" s="505"/>
    </row>
    <row r="44" spans="1:6" ht="15.75" x14ac:dyDescent="0.2">
      <c r="A44" s="467"/>
      <c r="B44" s="467"/>
      <c r="C44" s="467"/>
      <c r="D44" s="467"/>
      <c r="E44" s="467"/>
      <c r="F44" s="467"/>
    </row>
    <row r="45" spans="1:6" ht="16.5" thickBot="1" x14ac:dyDescent="0.25">
      <c r="A45" s="495" t="s">
        <v>98</v>
      </c>
      <c r="B45" s="495"/>
      <c r="C45" s="495"/>
      <c r="D45" s="495"/>
      <c r="E45" s="495"/>
      <c r="F45" s="495"/>
    </row>
    <row r="46" spans="1:6" ht="16.5" thickBot="1" x14ac:dyDescent="0.25">
      <c r="A46" s="166" t="s">
        <v>65</v>
      </c>
      <c r="B46" s="167" t="s">
        <v>66</v>
      </c>
      <c r="C46" s="167" t="s">
        <v>41</v>
      </c>
      <c r="D46" s="168" t="s">
        <v>227</v>
      </c>
      <c r="E46" s="168" t="s">
        <v>67</v>
      </c>
      <c r="F46" s="169" t="s">
        <v>300</v>
      </c>
    </row>
    <row r="47" spans="1:6" ht="15.75" x14ac:dyDescent="0.2">
      <c r="A47" s="251" t="s">
        <v>206</v>
      </c>
      <c r="B47" s="37" t="s">
        <v>7</v>
      </c>
      <c r="C47" s="37">
        <v>1</v>
      </c>
      <c r="D47" s="170">
        <v>1687.48</v>
      </c>
      <c r="E47" s="171">
        <f>C47*D47</f>
        <v>1687.48</v>
      </c>
      <c r="F47" s="252"/>
    </row>
    <row r="48" spans="1:6" ht="15.75" x14ac:dyDescent="0.2">
      <c r="A48" s="31" t="s">
        <v>35</v>
      </c>
      <c r="B48" s="25" t="s">
        <v>0</v>
      </c>
      <c r="C48" s="172">
        <v>8</v>
      </c>
      <c r="D48" s="173">
        <f>D47/220*2</f>
        <v>15.340727272727273</v>
      </c>
      <c r="E48" s="173">
        <f>C48*D48</f>
        <v>122.72581818181818</v>
      </c>
      <c r="F48" s="252"/>
    </row>
    <row r="49" spans="1:6" ht="15.75" x14ac:dyDescent="0.2">
      <c r="A49" s="31" t="s">
        <v>212</v>
      </c>
      <c r="B49" s="25" t="s">
        <v>34</v>
      </c>
      <c r="C49" s="98"/>
      <c r="D49" s="173">
        <f>63/302*(SUM(E48:E48))</f>
        <v>25.601743527995186</v>
      </c>
      <c r="E49" s="173">
        <f>D49</f>
        <v>25.601743527995186</v>
      </c>
      <c r="F49" s="252"/>
    </row>
    <row r="50" spans="1:6" ht="15.75" x14ac:dyDescent="0.2">
      <c r="A50" s="31" t="s">
        <v>1</v>
      </c>
      <c r="B50" s="25" t="s">
        <v>2</v>
      </c>
      <c r="C50" s="25">
        <v>40</v>
      </c>
      <c r="D50" s="174">
        <f>SUM(E47:E49)</f>
        <v>1835.8075617098134</v>
      </c>
      <c r="E50" s="173">
        <f>C50*D50/100</f>
        <v>734.32302468392527</v>
      </c>
      <c r="F50" s="252"/>
    </row>
    <row r="51" spans="1:6" ht="15.75" x14ac:dyDescent="0.2">
      <c r="A51" s="523" t="s">
        <v>302</v>
      </c>
      <c r="B51" s="524"/>
      <c r="C51" s="524"/>
      <c r="D51" s="525"/>
      <c r="E51" s="175">
        <f>SUM(E47:E50)</f>
        <v>2570.1305863937387</v>
      </c>
      <c r="F51" s="252"/>
    </row>
    <row r="52" spans="1:6" ht="15.75" x14ac:dyDescent="0.2">
      <c r="A52" s="31" t="s">
        <v>3</v>
      </c>
      <c r="B52" s="25" t="s">
        <v>2</v>
      </c>
      <c r="C52" s="176">
        <f>'2.Encargos Sociais'!$C$34*100</f>
        <v>75.06</v>
      </c>
      <c r="D52" s="173">
        <f>E51</f>
        <v>2570.1305863937387</v>
      </c>
      <c r="E52" s="173">
        <f>D52*C52/100</f>
        <v>1929.1400181471402</v>
      </c>
      <c r="F52" s="252"/>
    </row>
    <row r="53" spans="1:6" ht="15.75" x14ac:dyDescent="0.2">
      <c r="A53" s="523" t="s">
        <v>303</v>
      </c>
      <c r="B53" s="530"/>
      <c r="C53" s="530"/>
      <c r="D53" s="531"/>
      <c r="E53" s="175">
        <f>E51+E52</f>
        <v>4499.2706045408786</v>
      </c>
      <c r="F53" s="252"/>
    </row>
    <row r="54" spans="1:6" ht="15.75" x14ac:dyDescent="0.2">
      <c r="A54" s="253" t="s">
        <v>4</v>
      </c>
      <c r="B54" s="254" t="s">
        <v>5</v>
      </c>
      <c r="C54" s="255">
        <v>2</v>
      </c>
      <c r="D54" s="173">
        <f>E53</f>
        <v>4499.2706045408786</v>
      </c>
      <c r="E54" s="173">
        <f>C54*D54</f>
        <v>8998.5412090817572</v>
      </c>
      <c r="F54" s="252"/>
    </row>
    <row r="55" spans="1:6" ht="16.5" thickBot="1" x14ac:dyDescent="0.25">
      <c r="A55" s="499" t="s">
        <v>300</v>
      </c>
      <c r="B55" s="500"/>
      <c r="C55" s="501"/>
      <c r="D55" s="256" t="s">
        <v>301</v>
      </c>
      <c r="E55" s="349">
        <f>$B$41</f>
        <v>0.72719999999999996</v>
      </c>
      <c r="F55" s="211">
        <f>E54*E55</f>
        <v>6543.7391672442536</v>
      </c>
    </row>
    <row r="56" spans="1:6" ht="15.75" x14ac:dyDescent="0.2">
      <c r="A56" s="467"/>
      <c r="B56" s="467"/>
      <c r="C56" s="467"/>
      <c r="D56" s="467"/>
      <c r="E56" s="467"/>
      <c r="F56" s="467"/>
    </row>
    <row r="57" spans="1:6" ht="16.5" thickBot="1" x14ac:dyDescent="0.25">
      <c r="A57" s="495" t="s">
        <v>99</v>
      </c>
      <c r="B57" s="495"/>
      <c r="C57" s="495"/>
      <c r="D57" s="495"/>
      <c r="E57" s="495"/>
      <c r="F57" s="495"/>
    </row>
    <row r="58" spans="1:6" ht="16.5" thickBot="1" x14ac:dyDescent="0.25">
      <c r="A58" s="166" t="s">
        <v>65</v>
      </c>
      <c r="B58" s="167" t="s">
        <v>66</v>
      </c>
      <c r="C58" s="167" t="s">
        <v>41</v>
      </c>
      <c r="D58" s="168" t="s">
        <v>227</v>
      </c>
      <c r="E58" s="168" t="s">
        <v>67</v>
      </c>
      <c r="F58" s="169" t="s">
        <v>300</v>
      </c>
    </row>
    <row r="59" spans="1:6" ht="15.75" x14ac:dyDescent="0.2">
      <c r="A59" s="251" t="s">
        <v>209</v>
      </c>
      <c r="B59" s="37" t="s">
        <v>7</v>
      </c>
      <c r="C59" s="37">
        <v>1</v>
      </c>
      <c r="D59" s="170">
        <v>2030.35</v>
      </c>
      <c r="E59" s="171">
        <f>C59*D59</f>
        <v>2030.35</v>
      </c>
      <c r="F59" s="252"/>
    </row>
    <row r="60" spans="1:6" ht="15.75" x14ac:dyDescent="0.2">
      <c r="A60" s="251" t="s">
        <v>210</v>
      </c>
      <c r="B60" s="37" t="s">
        <v>7</v>
      </c>
      <c r="C60" s="37">
        <v>1</v>
      </c>
      <c r="D60" s="370">
        <v>1320</v>
      </c>
      <c r="E60" s="171"/>
      <c r="F60" s="252"/>
    </row>
    <row r="61" spans="1:6" ht="15.75" x14ac:dyDescent="0.2">
      <c r="A61" s="31" t="s">
        <v>35</v>
      </c>
      <c r="B61" s="25" t="s">
        <v>0</v>
      </c>
      <c r="C61" s="172">
        <v>8</v>
      </c>
      <c r="D61" s="173">
        <f>D59/220*2</f>
        <v>18.457727272727272</v>
      </c>
      <c r="E61" s="173">
        <f>C61*D61</f>
        <v>147.66181818181818</v>
      </c>
      <c r="F61" s="252"/>
    </row>
    <row r="62" spans="1:6" ht="15.75" x14ac:dyDescent="0.2">
      <c r="A62" s="31" t="s">
        <v>212</v>
      </c>
      <c r="B62" s="25" t="s">
        <v>34</v>
      </c>
      <c r="C62" s="98"/>
      <c r="D62" s="173">
        <f>63/302*(SUM(E61:E61))</f>
        <v>30.803624322697171</v>
      </c>
      <c r="E62" s="173">
        <f>D62</f>
        <v>30.803624322697171</v>
      </c>
      <c r="F62" s="252"/>
    </row>
    <row r="63" spans="1:6" ht="15.75" x14ac:dyDescent="0.2">
      <c r="A63" s="31" t="s">
        <v>208</v>
      </c>
      <c r="B63" s="25"/>
      <c r="C63" s="180">
        <v>1</v>
      </c>
      <c r="D63" s="173"/>
      <c r="E63" s="173"/>
      <c r="F63" s="252"/>
    </row>
    <row r="64" spans="1:6" ht="15.75" x14ac:dyDescent="0.2">
      <c r="A64" s="31" t="s">
        <v>1</v>
      </c>
      <c r="B64" s="25" t="s">
        <v>2</v>
      </c>
      <c r="C64" s="454">
        <v>20</v>
      </c>
      <c r="D64" s="174">
        <f>IF(C63=2,SUM(E59:E60),IF(C63=1,(SUM(E59:E60))*D60/D59,0))</f>
        <v>1320</v>
      </c>
      <c r="E64" s="173">
        <f>C64*D64/100</f>
        <v>264</v>
      </c>
      <c r="F64" s="252"/>
    </row>
    <row r="65" spans="1:6" ht="15.75" x14ac:dyDescent="0.2">
      <c r="A65" s="523" t="s">
        <v>302</v>
      </c>
      <c r="B65" s="524"/>
      <c r="C65" s="524"/>
      <c r="D65" s="525"/>
      <c r="E65" s="181">
        <f>SUM(E59:E64)</f>
        <v>2472.815442504515</v>
      </c>
      <c r="F65" s="258"/>
    </row>
    <row r="66" spans="1:6" ht="15.75" x14ac:dyDescent="0.2">
      <c r="A66" s="31" t="s">
        <v>3</v>
      </c>
      <c r="B66" s="25" t="s">
        <v>2</v>
      </c>
      <c r="C66" s="176">
        <f>'2.Encargos Sociais'!$C$34*100</f>
        <v>75.06</v>
      </c>
      <c r="D66" s="173">
        <f>E65</f>
        <v>2472.815442504515</v>
      </c>
      <c r="E66" s="173">
        <f>D66*C66/100</f>
        <v>1856.095271143889</v>
      </c>
      <c r="F66" s="252"/>
    </row>
    <row r="67" spans="1:6" ht="15.75" x14ac:dyDescent="0.2">
      <c r="A67" s="523" t="s">
        <v>305</v>
      </c>
      <c r="B67" s="524"/>
      <c r="C67" s="524"/>
      <c r="D67" s="525"/>
      <c r="E67" s="181">
        <f>E65+E66</f>
        <v>4328.9107136484035</v>
      </c>
      <c r="F67" s="258"/>
    </row>
    <row r="68" spans="1:6" ht="15.75" x14ac:dyDescent="0.2">
      <c r="A68" s="31" t="s">
        <v>4</v>
      </c>
      <c r="B68" s="25" t="s">
        <v>5</v>
      </c>
      <c r="C68" s="30">
        <v>1</v>
      </c>
      <c r="D68" s="173">
        <f>E67</f>
        <v>4328.9107136484035</v>
      </c>
      <c r="E68" s="173">
        <f>C68*D68</f>
        <v>4328.9107136484035</v>
      </c>
      <c r="F68" s="252"/>
    </row>
    <row r="69" spans="1:6" ht="16.5" thickBot="1" x14ac:dyDescent="0.25">
      <c r="A69" s="499" t="s">
        <v>300</v>
      </c>
      <c r="B69" s="500"/>
      <c r="C69" s="501"/>
      <c r="D69" s="257" t="s">
        <v>301</v>
      </c>
      <c r="E69" s="349">
        <f>$B$41</f>
        <v>0.72719999999999996</v>
      </c>
      <c r="F69" s="211">
        <f>E68*E69</f>
        <v>3147.983870965119</v>
      </c>
    </row>
    <row r="70" spans="1:6" ht="15.75" x14ac:dyDescent="0.2">
      <c r="A70" s="467"/>
      <c r="B70" s="467"/>
      <c r="C70" s="467"/>
      <c r="D70" s="467"/>
      <c r="E70" s="467"/>
      <c r="F70" s="467"/>
    </row>
    <row r="71" spans="1:6" ht="16.5" thickBot="1" x14ac:dyDescent="0.25">
      <c r="A71" s="495" t="s">
        <v>417</v>
      </c>
      <c r="B71" s="495"/>
      <c r="C71" s="495"/>
      <c r="D71" s="495"/>
      <c r="E71" s="495"/>
      <c r="F71" s="495"/>
    </row>
    <row r="72" spans="1:6" ht="16.5" thickBot="1" x14ac:dyDescent="0.25">
      <c r="A72" s="166" t="s">
        <v>65</v>
      </c>
      <c r="B72" s="167" t="s">
        <v>66</v>
      </c>
      <c r="C72" s="167" t="s">
        <v>41</v>
      </c>
      <c r="D72" s="168" t="s">
        <v>227</v>
      </c>
      <c r="E72" s="168" t="s">
        <v>67</v>
      </c>
      <c r="F72" s="169" t="s">
        <v>300</v>
      </c>
    </row>
    <row r="73" spans="1:6" ht="15.75" x14ac:dyDescent="0.2">
      <c r="A73" s="31" t="s">
        <v>91</v>
      </c>
      <c r="B73" s="25" t="s">
        <v>34</v>
      </c>
      <c r="C73" s="182">
        <v>1</v>
      </c>
      <c r="D73" s="372">
        <v>4.7804021471743408</v>
      </c>
      <c r="E73" s="214"/>
      <c r="F73" s="259"/>
    </row>
    <row r="74" spans="1:6" ht="15.75" x14ac:dyDescent="0.2">
      <c r="A74" s="31" t="s">
        <v>92</v>
      </c>
      <c r="B74" s="25" t="s">
        <v>93</v>
      </c>
      <c r="C74" s="263">
        <v>16</v>
      </c>
      <c r="D74" s="173"/>
      <c r="E74" s="214"/>
      <c r="F74" s="260"/>
    </row>
    <row r="75" spans="1:6" ht="15.75" x14ac:dyDescent="0.2">
      <c r="A75" s="31" t="s">
        <v>74</v>
      </c>
      <c r="B75" s="25" t="s">
        <v>8</v>
      </c>
      <c r="C75" s="183">
        <f>$C$74*2*(C54)</f>
        <v>64</v>
      </c>
      <c r="D75" s="171">
        <f>IFERROR((($C$74*2*$D$73)-(E47*0.06))/($C$74*2),"-")</f>
        <v>1.6163771471743407</v>
      </c>
      <c r="E75" s="214">
        <f>IFERROR(C75*D75,"-")</f>
        <v>103.4481374191578</v>
      </c>
      <c r="F75" s="260"/>
    </row>
    <row r="76" spans="1:6" ht="15.75" x14ac:dyDescent="0.2">
      <c r="A76" s="251" t="s">
        <v>45</v>
      </c>
      <c r="B76" s="37" t="s">
        <v>8</v>
      </c>
      <c r="C76" s="183">
        <f>$C$74*2*(C68)</f>
        <v>32</v>
      </c>
      <c r="D76" s="171">
        <f>IFERROR((($C$74*2*$D$73)-(E59*0.06))/($C$74*2),"-")</f>
        <v>0.97349589717434126</v>
      </c>
      <c r="E76" s="215">
        <f>IFERROR(C76*D76,"-")</f>
        <v>31.15186870957892</v>
      </c>
      <c r="F76" s="260"/>
    </row>
    <row r="77" spans="1:6" ht="16.5" thickBot="1" x14ac:dyDescent="0.25">
      <c r="A77" s="499" t="s">
        <v>300</v>
      </c>
      <c r="B77" s="500"/>
      <c r="C77" s="500"/>
      <c r="D77" s="500"/>
      <c r="E77" s="501"/>
      <c r="F77" s="264">
        <f>SUM(E75:E76)</f>
        <v>134.60000612873671</v>
      </c>
    </row>
    <row r="78" spans="1:6" ht="15.75" x14ac:dyDescent="0.2">
      <c r="A78" s="467"/>
      <c r="B78" s="467"/>
      <c r="C78" s="467"/>
      <c r="D78" s="467"/>
      <c r="E78" s="467"/>
      <c r="F78" s="467"/>
    </row>
    <row r="79" spans="1:6" ht="16.5" thickBot="1" x14ac:dyDescent="0.25">
      <c r="A79" s="495" t="s">
        <v>418</v>
      </c>
      <c r="B79" s="495"/>
      <c r="C79" s="495"/>
      <c r="D79" s="495"/>
      <c r="E79" s="495"/>
      <c r="F79" s="495"/>
    </row>
    <row r="80" spans="1:6" ht="16.5" thickBot="1" x14ac:dyDescent="0.25">
      <c r="A80" s="166" t="s">
        <v>65</v>
      </c>
      <c r="B80" s="167" t="s">
        <v>66</v>
      </c>
      <c r="C80" s="167" t="s">
        <v>41</v>
      </c>
      <c r="D80" s="168" t="s">
        <v>227</v>
      </c>
      <c r="E80" s="168" t="s">
        <v>67</v>
      </c>
      <c r="F80" s="169" t="s">
        <v>300</v>
      </c>
    </row>
    <row r="81" spans="1:6" ht="15.75" x14ac:dyDescent="0.2">
      <c r="A81" s="31" t="str">
        <f>+A75</f>
        <v>Coletor</v>
      </c>
      <c r="B81" s="25" t="s">
        <v>9</v>
      </c>
      <c r="C81" s="184">
        <f>C74*(E33)</f>
        <v>32</v>
      </c>
      <c r="D81" s="185">
        <v>18.2</v>
      </c>
      <c r="E81" s="216">
        <f>C81*D81</f>
        <v>582.4</v>
      </c>
      <c r="F81" s="265"/>
    </row>
    <row r="82" spans="1:6" ht="15.75" x14ac:dyDescent="0.2">
      <c r="A82" s="31" t="str">
        <f>+A76</f>
        <v>Motorista</v>
      </c>
      <c r="B82" s="254" t="s">
        <v>9</v>
      </c>
      <c r="C82" s="351">
        <f>C74*(E34)</f>
        <v>16</v>
      </c>
      <c r="D82" s="457">
        <v>12.76</v>
      </c>
      <c r="E82" s="352">
        <f>C82*D82</f>
        <v>204.16</v>
      </c>
      <c r="F82" s="261"/>
    </row>
    <row r="83" spans="1:6" ht="15.75" x14ac:dyDescent="0.2">
      <c r="A83" s="31" t="s">
        <v>4</v>
      </c>
      <c r="B83" s="355"/>
      <c r="C83" s="355"/>
      <c r="D83" s="355"/>
      <c r="E83" s="356">
        <f>SUM(E81:E82)</f>
        <v>786.56</v>
      </c>
      <c r="F83" s="357"/>
    </row>
    <row r="84" spans="1:6" ht="16.5" thickBot="1" x14ac:dyDescent="0.25">
      <c r="A84" s="499" t="s">
        <v>300</v>
      </c>
      <c r="B84" s="503"/>
      <c r="C84" s="504"/>
      <c r="D84" s="353" t="s">
        <v>301</v>
      </c>
      <c r="E84" s="354">
        <f>$B$41</f>
        <v>0.72719999999999996</v>
      </c>
      <c r="F84" s="211">
        <f>E83*E84</f>
        <v>571.98643199999992</v>
      </c>
    </row>
    <row r="85" spans="1:6" ht="15.75" x14ac:dyDescent="0.2">
      <c r="A85" s="467"/>
      <c r="B85" s="467"/>
      <c r="C85" s="467"/>
      <c r="D85" s="467"/>
      <c r="E85" s="467"/>
      <c r="F85" s="467"/>
    </row>
    <row r="86" spans="1:6" ht="16.5" thickBot="1" x14ac:dyDescent="0.25">
      <c r="A86" s="495" t="s">
        <v>419</v>
      </c>
      <c r="B86" s="495"/>
      <c r="C86" s="495"/>
      <c r="D86" s="495"/>
      <c r="E86" s="495"/>
      <c r="F86" s="495"/>
    </row>
    <row r="87" spans="1:6" ht="16.5" thickBot="1" x14ac:dyDescent="0.25">
      <c r="A87" s="166" t="s">
        <v>65</v>
      </c>
      <c r="B87" s="167" t="s">
        <v>66</v>
      </c>
      <c r="C87" s="167" t="s">
        <v>41</v>
      </c>
      <c r="D87" s="168" t="s">
        <v>227</v>
      </c>
      <c r="E87" s="168" t="s">
        <v>67</v>
      </c>
      <c r="F87" s="169" t="s">
        <v>300</v>
      </c>
    </row>
    <row r="88" spans="1:6" ht="15.75" x14ac:dyDescent="0.2">
      <c r="A88" s="31" t="str">
        <f>+A81</f>
        <v>Coletor</v>
      </c>
      <c r="B88" s="25" t="s">
        <v>9</v>
      </c>
      <c r="C88" s="184">
        <f>E33</f>
        <v>2</v>
      </c>
      <c r="D88" s="185">
        <v>0</v>
      </c>
      <c r="E88" s="216">
        <f>C88*D88</f>
        <v>0</v>
      </c>
      <c r="F88" s="265"/>
    </row>
    <row r="89" spans="1:6" ht="15.75" x14ac:dyDescent="0.2">
      <c r="A89" s="31" t="str">
        <f>+A82</f>
        <v>Motorista</v>
      </c>
      <c r="B89" s="25" t="s">
        <v>9</v>
      </c>
      <c r="C89" s="184">
        <f>E34</f>
        <v>1</v>
      </c>
      <c r="D89" s="367">
        <v>113.11797309399398</v>
      </c>
      <c r="E89" s="216">
        <f>C89*D89</f>
        <v>113.11797309399398</v>
      </c>
      <c r="F89" s="261"/>
    </row>
    <row r="90" spans="1:6" ht="16.5" thickBot="1" x14ac:dyDescent="0.25">
      <c r="A90" s="502" t="s">
        <v>300</v>
      </c>
      <c r="B90" s="503"/>
      <c r="C90" s="504"/>
      <c r="D90" s="373">
        <v>11.82401166492</v>
      </c>
      <c r="E90" s="350">
        <f>$B$41</f>
        <v>0.72719999999999996</v>
      </c>
      <c r="F90" s="264">
        <f>SUM(E88:E89)*E90</f>
        <v>82.259390033952414</v>
      </c>
    </row>
    <row r="91" spans="1:6" ht="16.5" thickBot="1" x14ac:dyDescent="0.25">
      <c r="A91" s="98"/>
      <c r="B91" s="98"/>
      <c r="C91" s="98"/>
      <c r="D91" s="130"/>
      <c r="E91" s="130"/>
      <c r="F91" s="130"/>
    </row>
    <row r="92" spans="1:6" ht="16.5" thickBot="1" x14ac:dyDescent="0.25">
      <c r="A92" s="217" t="s">
        <v>306</v>
      </c>
      <c r="B92" s="218"/>
      <c r="C92" s="218"/>
      <c r="D92" s="156"/>
      <c r="E92" s="156"/>
      <c r="F92" s="219">
        <f>F90+F84+F77+F69+F55</f>
        <v>10480.568866372061</v>
      </c>
    </row>
    <row r="93" spans="1:6" ht="15.75" x14ac:dyDescent="0.2">
      <c r="A93" s="527"/>
      <c r="B93" s="527"/>
      <c r="C93" s="527"/>
      <c r="D93" s="527"/>
      <c r="E93" s="527"/>
      <c r="F93" s="527"/>
    </row>
    <row r="94" spans="1:6" ht="15.75" x14ac:dyDescent="0.2">
      <c r="A94" s="505" t="s">
        <v>46</v>
      </c>
      <c r="B94" s="505"/>
      <c r="C94" s="505"/>
      <c r="D94" s="505"/>
      <c r="E94" s="505"/>
      <c r="F94" s="505"/>
    </row>
    <row r="95" spans="1:6" ht="15.75" x14ac:dyDescent="0.2">
      <c r="A95" s="467"/>
      <c r="B95" s="467"/>
      <c r="C95" s="467"/>
      <c r="D95" s="467"/>
      <c r="E95" s="467"/>
      <c r="F95" s="467"/>
    </row>
    <row r="96" spans="1:6" ht="15.75" x14ac:dyDescent="0.2">
      <c r="A96" s="526" t="s">
        <v>307</v>
      </c>
      <c r="B96" s="526"/>
      <c r="C96" s="526"/>
      <c r="D96" s="526"/>
      <c r="E96" s="526"/>
      <c r="F96" s="526"/>
    </row>
    <row r="97" spans="1:6" ht="16.5" thickBot="1" x14ac:dyDescent="0.25">
      <c r="A97" s="468"/>
      <c r="B97" s="468"/>
      <c r="C97" s="468"/>
      <c r="D97" s="468"/>
      <c r="E97" s="468"/>
      <c r="F97" s="468"/>
    </row>
    <row r="98" spans="1:6" ht="32.25" thickBot="1" x14ac:dyDescent="0.25">
      <c r="A98" s="166" t="s">
        <v>65</v>
      </c>
      <c r="B98" s="167" t="s">
        <v>66</v>
      </c>
      <c r="C98" s="190" t="s">
        <v>239</v>
      </c>
      <c r="D98" s="168" t="s">
        <v>227</v>
      </c>
      <c r="E98" s="168" t="s">
        <v>67</v>
      </c>
      <c r="F98" s="169" t="s">
        <v>300</v>
      </c>
    </row>
    <row r="99" spans="1:6" ht="15.75" x14ac:dyDescent="0.2">
      <c r="A99" s="251" t="s">
        <v>68</v>
      </c>
      <c r="B99" s="37" t="s">
        <v>9</v>
      </c>
      <c r="C99" s="269">
        <v>4</v>
      </c>
      <c r="D99" s="370">
        <v>98.4</v>
      </c>
      <c r="E99" s="171">
        <f>IFERROR(D99/C99,0)</f>
        <v>24.6</v>
      </c>
      <c r="F99" s="260"/>
    </row>
    <row r="100" spans="1:6" ht="15.75" x14ac:dyDescent="0.2">
      <c r="A100" s="31" t="s">
        <v>29</v>
      </c>
      <c r="B100" s="25" t="s">
        <v>9</v>
      </c>
      <c r="C100" s="191">
        <v>2</v>
      </c>
      <c r="D100" s="370">
        <v>50.42</v>
      </c>
      <c r="E100" s="171">
        <f t="shared" ref="E100:E108" si="1">IFERROR(D100/C100,0)</f>
        <v>25.21</v>
      </c>
      <c r="F100" s="260"/>
    </row>
    <row r="101" spans="1:6" ht="15.75" x14ac:dyDescent="0.2">
      <c r="A101" s="31" t="s">
        <v>30</v>
      </c>
      <c r="B101" s="25" t="s">
        <v>9</v>
      </c>
      <c r="C101" s="191">
        <v>2</v>
      </c>
      <c r="D101" s="370">
        <v>22.4</v>
      </c>
      <c r="E101" s="171">
        <f t="shared" si="1"/>
        <v>11.2</v>
      </c>
      <c r="F101" s="260"/>
    </row>
    <row r="102" spans="1:6" ht="15.75" x14ac:dyDescent="0.2">
      <c r="A102" s="31" t="s">
        <v>31</v>
      </c>
      <c r="B102" s="25" t="s">
        <v>9</v>
      </c>
      <c r="C102" s="191">
        <v>2</v>
      </c>
      <c r="D102" s="370">
        <v>17</v>
      </c>
      <c r="E102" s="171">
        <f t="shared" si="1"/>
        <v>8.5</v>
      </c>
      <c r="F102" s="260"/>
    </row>
    <row r="103" spans="1:6" ht="15.75" x14ac:dyDescent="0.2">
      <c r="A103" s="31" t="s">
        <v>70</v>
      </c>
      <c r="B103" s="25" t="s">
        <v>49</v>
      </c>
      <c r="C103" s="191">
        <v>2</v>
      </c>
      <c r="D103" s="370">
        <v>65.290000000000006</v>
      </c>
      <c r="E103" s="171">
        <f t="shared" si="1"/>
        <v>32.645000000000003</v>
      </c>
      <c r="F103" s="260"/>
    </row>
    <row r="104" spans="1:6" ht="15.75" x14ac:dyDescent="0.2">
      <c r="A104" s="31" t="s">
        <v>94</v>
      </c>
      <c r="B104" s="25" t="s">
        <v>49</v>
      </c>
      <c r="C104" s="191">
        <v>2</v>
      </c>
      <c r="D104" s="370">
        <v>8.75</v>
      </c>
      <c r="E104" s="171">
        <f t="shared" si="1"/>
        <v>4.375</v>
      </c>
      <c r="F104" s="260"/>
    </row>
    <row r="105" spans="1:6" ht="15.75" x14ac:dyDescent="0.2">
      <c r="A105" s="31" t="s">
        <v>69</v>
      </c>
      <c r="B105" s="25" t="s">
        <v>9</v>
      </c>
      <c r="C105" s="191">
        <v>2</v>
      </c>
      <c r="D105" s="370">
        <v>20.66</v>
      </c>
      <c r="E105" s="171">
        <f t="shared" si="1"/>
        <v>10.33</v>
      </c>
      <c r="F105" s="260"/>
    </row>
    <row r="106" spans="1:6" ht="15.75" x14ac:dyDescent="0.25">
      <c r="A106" s="267" t="s">
        <v>10</v>
      </c>
      <c r="B106" s="27" t="s">
        <v>9</v>
      </c>
      <c r="C106" s="191">
        <v>6</v>
      </c>
      <c r="D106" s="370">
        <v>38.590000000000003</v>
      </c>
      <c r="E106" s="171">
        <f t="shared" si="1"/>
        <v>6.4316666666666675</v>
      </c>
      <c r="F106" s="270"/>
    </row>
    <row r="107" spans="1:6" ht="15.75" x14ac:dyDescent="0.2">
      <c r="A107" s="31" t="s">
        <v>32</v>
      </c>
      <c r="B107" s="25" t="s">
        <v>49</v>
      </c>
      <c r="C107" s="191">
        <v>1</v>
      </c>
      <c r="D107" s="370">
        <v>19.170000000000002</v>
      </c>
      <c r="E107" s="171">
        <f t="shared" si="1"/>
        <v>19.170000000000002</v>
      </c>
      <c r="F107" s="260"/>
    </row>
    <row r="108" spans="1:6" ht="15.75" x14ac:dyDescent="0.2">
      <c r="A108" s="31" t="s">
        <v>64</v>
      </c>
      <c r="B108" s="25" t="s">
        <v>50</v>
      </c>
      <c r="C108" s="191">
        <v>1</v>
      </c>
      <c r="D108" s="370">
        <v>24.44</v>
      </c>
      <c r="E108" s="171">
        <f t="shared" si="1"/>
        <v>24.44</v>
      </c>
      <c r="F108" s="260"/>
    </row>
    <row r="109" spans="1:6" ht="15.75" x14ac:dyDescent="0.2">
      <c r="A109" s="31" t="s">
        <v>193</v>
      </c>
      <c r="B109" s="25" t="s">
        <v>120</v>
      </c>
      <c r="C109" s="192">
        <v>1</v>
      </c>
      <c r="D109" s="370">
        <v>82.46</v>
      </c>
      <c r="E109" s="173">
        <f t="shared" ref="E109:E110" si="2">C109*D109</f>
        <v>82.46</v>
      </c>
      <c r="F109" s="260"/>
    </row>
    <row r="110" spans="1:6" ht="15.75" x14ac:dyDescent="0.2">
      <c r="A110" s="31" t="s">
        <v>4</v>
      </c>
      <c r="B110" s="25" t="s">
        <v>5</v>
      </c>
      <c r="C110" s="192">
        <f>E33</f>
        <v>2</v>
      </c>
      <c r="D110" s="173">
        <f>+SUM(E99:E109)</f>
        <v>249.36166666666668</v>
      </c>
      <c r="E110" s="173">
        <f t="shared" si="2"/>
        <v>498.72333333333336</v>
      </c>
      <c r="F110" s="260"/>
    </row>
    <row r="111" spans="1:6" ht="16.5" thickBot="1" x14ac:dyDescent="0.25">
      <c r="A111" s="496" t="s">
        <v>337</v>
      </c>
      <c r="B111" s="497"/>
      <c r="C111" s="498"/>
      <c r="D111" s="257" t="s">
        <v>301</v>
      </c>
      <c r="E111" s="349">
        <f>$B$41</f>
        <v>0.72719999999999996</v>
      </c>
      <c r="F111" s="211">
        <f>E110*E111</f>
        <v>362.67160799999999</v>
      </c>
    </row>
    <row r="112" spans="1:6" ht="15.75" x14ac:dyDescent="0.2">
      <c r="A112" s="467"/>
      <c r="B112" s="467"/>
      <c r="C112" s="467"/>
      <c r="D112" s="467"/>
      <c r="E112" s="467"/>
      <c r="F112" s="467"/>
    </row>
    <row r="113" spans="1:6" ht="15.75" x14ac:dyDescent="0.2">
      <c r="A113" s="526" t="s">
        <v>308</v>
      </c>
      <c r="B113" s="526"/>
      <c r="C113" s="526"/>
      <c r="D113" s="526"/>
      <c r="E113" s="526"/>
      <c r="F113" s="526"/>
    </row>
    <row r="114" spans="1:6" ht="16.5" thickBot="1" x14ac:dyDescent="0.25">
      <c r="A114" s="468"/>
      <c r="B114" s="468"/>
      <c r="C114" s="468"/>
      <c r="D114" s="468"/>
      <c r="E114" s="468"/>
      <c r="F114" s="468"/>
    </row>
    <row r="115" spans="1:6" ht="32.25" thickBot="1" x14ac:dyDescent="0.25">
      <c r="A115" s="166" t="s">
        <v>65</v>
      </c>
      <c r="B115" s="167" t="s">
        <v>66</v>
      </c>
      <c r="C115" s="190" t="s">
        <v>239</v>
      </c>
      <c r="D115" s="168" t="s">
        <v>227</v>
      </c>
      <c r="E115" s="168" t="s">
        <v>67</v>
      </c>
      <c r="F115" s="169" t="s">
        <v>300</v>
      </c>
    </row>
    <row r="116" spans="1:6" ht="15.75" x14ac:dyDescent="0.2">
      <c r="A116" s="251" t="s">
        <v>68</v>
      </c>
      <c r="B116" s="37" t="s">
        <v>9</v>
      </c>
      <c r="C116" s="191">
        <v>12</v>
      </c>
      <c r="D116" s="170">
        <v>98.4</v>
      </c>
      <c r="E116" s="171">
        <f>IFERROR(D116/C116,0)</f>
        <v>8.2000000000000011</v>
      </c>
      <c r="F116" s="259"/>
    </row>
    <row r="117" spans="1:6" ht="15.75" x14ac:dyDescent="0.2">
      <c r="A117" s="31" t="s">
        <v>29</v>
      </c>
      <c r="B117" s="25" t="s">
        <v>9</v>
      </c>
      <c r="C117" s="191">
        <v>2</v>
      </c>
      <c r="D117" s="170">
        <v>50.42</v>
      </c>
      <c r="E117" s="171">
        <f t="shared" ref="E117:E121" si="3">IFERROR(D117/C117,0)</f>
        <v>25.21</v>
      </c>
      <c r="F117" s="260"/>
    </row>
    <row r="118" spans="1:6" ht="15.75" x14ac:dyDescent="0.2">
      <c r="A118" s="31" t="s">
        <v>30</v>
      </c>
      <c r="B118" s="25" t="s">
        <v>9</v>
      </c>
      <c r="C118" s="191">
        <v>2</v>
      </c>
      <c r="D118" s="170">
        <v>22.4</v>
      </c>
      <c r="E118" s="171">
        <f t="shared" si="3"/>
        <v>11.2</v>
      </c>
      <c r="F118" s="260"/>
    </row>
    <row r="119" spans="1:6" ht="15.75" x14ac:dyDescent="0.2">
      <c r="A119" s="31" t="s">
        <v>70</v>
      </c>
      <c r="B119" s="25" t="s">
        <v>49</v>
      </c>
      <c r="C119" s="191">
        <v>2</v>
      </c>
      <c r="D119" s="170">
        <v>65.290000000000006</v>
      </c>
      <c r="E119" s="171">
        <f t="shared" si="3"/>
        <v>32.645000000000003</v>
      </c>
      <c r="F119" s="260"/>
    </row>
    <row r="120" spans="1:6" ht="15.75" x14ac:dyDescent="0.2">
      <c r="A120" s="31" t="s">
        <v>69</v>
      </c>
      <c r="B120" s="25" t="s">
        <v>9</v>
      </c>
      <c r="C120" s="191">
        <v>2</v>
      </c>
      <c r="D120" s="170">
        <v>20.66</v>
      </c>
      <c r="E120" s="171">
        <f t="shared" si="3"/>
        <v>10.33</v>
      </c>
      <c r="F120" s="260"/>
    </row>
    <row r="121" spans="1:6" ht="15.75" x14ac:dyDescent="0.2">
      <c r="A121" s="31" t="s">
        <v>64</v>
      </c>
      <c r="B121" s="25" t="s">
        <v>50</v>
      </c>
      <c r="C121" s="191">
        <v>1</v>
      </c>
      <c r="D121" s="170">
        <v>24.44</v>
      </c>
      <c r="E121" s="171">
        <f t="shared" si="3"/>
        <v>24.44</v>
      </c>
      <c r="F121" s="260"/>
    </row>
    <row r="122" spans="1:6" ht="15.75" x14ac:dyDescent="0.2">
      <c r="A122" s="31" t="s">
        <v>193</v>
      </c>
      <c r="B122" s="25" t="s">
        <v>120</v>
      </c>
      <c r="C122" s="192">
        <v>1</v>
      </c>
      <c r="D122" s="170">
        <v>82.46</v>
      </c>
      <c r="E122" s="173">
        <f t="shared" ref="E122:E123" si="4">C122*D122</f>
        <v>82.46</v>
      </c>
      <c r="F122" s="260"/>
    </row>
    <row r="123" spans="1:6" ht="15.75" x14ac:dyDescent="0.2">
      <c r="A123" s="31" t="s">
        <v>4</v>
      </c>
      <c r="B123" s="25" t="s">
        <v>5</v>
      </c>
      <c r="C123" s="192">
        <f>E34</f>
        <v>1</v>
      </c>
      <c r="D123" s="173">
        <f>+SUM(E116:E122)</f>
        <v>194.48499999999999</v>
      </c>
      <c r="E123" s="173">
        <f t="shared" si="4"/>
        <v>194.48499999999999</v>
      </c>
      <c r="F123" s="260"/>
    </row>
    <row r="124" spans="1:6" ht="16.5" thickBot="1" x14ac:dyDescent="0.25">
      <c r="A124" s="496" t="s">
        <v>337</v>
      </c>
      <c r="B124" s="497"/>
      <c r="C124" s="498"/>
      <c r="D124" s="257" t="s">
        <v>301</v>
      </c>
      <c r="E124" s="349">
        <f>$B$41</f>
        <v>0.72719999999999996</v>
      </c>
      <c r="F124" s="211">
        <f>E123*E124</f>
        <v>141.42949199999998</v>
      </c>
    </row>
    <row r="125" spans="1:6" ht="16.5" thickBot="1" x14ac:dyDescent="0.25">
      <c r="A125" s="98"/>
      <c r="B125" s="98"/>
      <c r="C125" s="98"/>
      <c r="D125" s="130"/>
      <c r="E125" s="130"/>
      <c r="F125" s="130"/>
    </row>
    <row r="126" spans="1:6" ht="16.5" thickBot="1" x14ac:dyDescent="0.25">
      <c r="A126" s="217" t="s">
        <v>194</v>
      </c>
      <c r="B126" s="271"/>
      <c r="C126" s="271"/>
      <c r="D126" s="272"/>
      <c r="E126" s="272"/>
      <c r="F126" s="178">
        <f>+F111+F124</f>
        <v>504.10109999999997</v>
      </c>
    </row>
    <row r="127" spans="1:6" ht="15.75" x14ac:dyDescent="0.2">
      <c r="A127" s="98"/>
      <c r="B127" s="98"/>
      <c r="C127" s="98"/>
      <c r="D127" s="130"/>
      <c r="E127" s="130"/>
      <c r="F127" s="130"/>
    </row>
    <row r="128" spans="1:6" ht="15.75" x14ac:dyDescent="0.2">
      <c r="A128" s="107" t="s">
        <v>55</v>
      </c>
      <c r="B128" s="98"/>
      <c r="C128" s="98"/>
      <c r="D128" s="130"/>
      <c r="E128" s="130"/>
      <c r="F128" s="130"/>
    </row>
    <row r="129" spans="1:6" ht="15.75" x14ac:dyDescent="0.2">
      <c r="A129" s="98"/>
      <c r="B129" s="193"/>
      <c r="C129" s="98"/>
      <c r="D129" s="130"/>
      <c r="E129" s="130"/>
      <c r="F129" s="130"/>
    </row>
    <row r="130" spans="1:6" ht="15.75" x14ac:dyDescent="0.2">
      <c r="A130" s="212" t="s">
        <v>526</v>
      </c>
      <c r="B130" s="98"/>
      <c r="C130" s="98"/>
      <c r="D130" s="130"/>
      <c r="E130" s="130"/>
      <c r="F130" s="130"/>
    </row>
    <row r="131" spans="1:6" ht="15.75" x14ac:dyDescent="0.2">
      <c r="A131" s="98"/>
      <c r="B131" s="98"/>
      <c r="C131" s="98"/>
      <c r="D131" s="130"/>
      <c r="E131" s="130"/>
      <c r="F131" s="130"/>
    </row>
    <row r="132" spans="1:6" ht="16.5" thickBot="1" x14ac:dyDescent="0.25">
      <c r="A132" s="221" t="s">
        <v>344</v>
      </c>
      <c r="B132" s="98"/>
      <c r="C132" s="98"/>
      <c r="D132" s="130"/>
      <c r="E132" s="130"/>
      <c r="F132" s="130"/>
    </row>
    <row r="133" spans="1:6" ht="16.5" thickBot="1" x14ac:dyDescent="0.25">
      <c r="A133" s="166" t="s">
        <v>65</v>
      </c>
      <c r="B133" s="167" t="s">
        <v>66</v>
      </c>
      <c r="C133" s="167" t="s">
        <v>41</v>
      </c>
      <c r="D133" s="168" t="s">
        <v>227</v>
      </c>
      <c r="E133" s="168" t="s">
        <v>67</v>
      </c>
      <c r="F133" s="169" t="s">
        <v>300</v>
      </c>
    </row>
    <row r="134" spans="1:6" ht="15.75" x14ac:dyDescent="0.2">
      <c r="A134" s="251" t="s">
        <v>107</v>
      </c>
      <c r="B134" s="37" t="s">
        <v>9</v>
      </c>
      <c r="C134" s="37">
        <v>1</v>
      </c>
      <c r="D134" s="370">
        <v>315845</v>
      </c>
      <c r="E134" s="215">
        <f>C134*D134</f>
        <v>315845</v>
      </c>
      <c r="F134" s="259"/>
    </row>
    <row r="135" spans="1:6" ht="15.75" x14ac:dyDescent="0.2">
      <c r="A135" s="31" t="s">
        <v>101</v>
      </c>
      <c r="B135" s="25" t="s">
        <v>102</v>
      </c>
      <c r="C135" s="30">
        <v>3</v>
      </c>
      <c r="D135" s="174"/>
      <c r="E135" s="214"/>
      <c r="F135" s="260"/>
    </row>
    <row r="136" spans="1:6" ht="15.75" x14ac:dyDescent="0.2">
      <c r="A136" s="31" t="s">
        <v>201</v>
      </c>
      <c r="B136" s="25" t="s">
        <v>102</v>
      </c>
      <c r="C136" s="30">
        <v>0</v>
      </c>
      <c r="D136" s="173"/>
      <c r="E136" s="214"/>
      <c r="F136" s="273"/>
    </row>
    <row r="137" spans="1:6" ht="15.75" x14ac:dyDescent="0.2">
      <c r="A137" s="31" t="s">
        <v>105</v>
      </c>
      <c r="B137" s="25" t="s">
        <v>2</v>
      </c>
      <c r="C137" s="176">
        <f>IFERROR(VLOOKUP(C135,'5. Depreciação'!A3:B17,2,FALSE),0)</f>
        <v>48.68</v>
      </c>
      <c r="D137" s="173">
        <f>E134</f>
        <v>315845</v>
      </c>
      <c r="E137" s="214">
        <f>C137*D137/100</f>
        <v>153753.34599999999</v>
      </c>
      <c r="F137" s="260"/>
    </row>
    <row r="138" spans="1:6" ht="16.5" thickBot="1" x14ac:dyDescent="0.25">
      <c r="A138" s="274" t="s">
        <v>51</v>
      </c>
      <c r="B138" s="195" t="s">
        <v>7</v>
      </c>
      <c r="C138" s="195">
        <f>C135*12</f>
        <v>36</v>
      </c>
      <c r="D138" s="196">
        <f>IF(C136&lt;=C135,E137,0)</f>
        <v>153753.34599999999</v>
      </c>
      <c r="E138" s="222">
        <f>IFERROR(D138/C138,0)</f>
        <v>4270.9262777777776</v>
      </c>
      <c r="F138" s="260"/>
    </row>
    <row r="139" spans="1:6" ht="16.5" thickTop="1" x14ac:dyDescent="0.2">
      <c r="A139" s="251" t="s">
        <v>106</v>
      </c>
      <c r="B139" s="37" t="s">
        <v>9</v>
      </c>
      <c r="C139" s="37">
        <f>C134</f>
        <v>1</v>
      </c>
      <c r="D139" s="370">
        <v>66133.44913319475</v>
      </c>
      <c r="E139" s="215">
        <f>C139*D139</f>
        <v>66133.44913319475</v>
      </c>
      <c r="F139" s="260"/>
    </row>
    <row r="140" spans="1:6" ht="15.75" x14ac:dyDescent="0.2">
      <c r="A140" s="31" t="s">
        <v>103</v>
      </c>
      <c r="B140" s="25" t="s">
        <v>102</v>
      </c>
      <c r="C140" s="30">
        <v>3</v>
      </c>
      <c r="D140" s="173"/>
      <c r="E140" s="214"/>
      <c r="F140" s="260"/>
    </row>
    <row r="141" spans="1:6" ht="15.75" x14ac:dyDescent="0.2">
      <c r="A141" s="31" t="s">
        <v>202</v>
      </c>
      <c r="B141" s="25" t="s">
        <v>102</v>
      </c>
      <c r="C141" s="30">
        <v>0</v>
      </c>
      <c r="D141" s="173"/>
      <c r="E141" s="214"/>
      <c r="F141" s="273"/>
    </row>
    <row r="142" spans="1:6" ht="15.75" x14ac:dyDescent="0.2">
      <c r="A142" s="31" t="s">
        <v>104</v>
      </c>
      <c r="B142" s="25" t="s">
        <v>2</v>
      </c>
      <c r="C142" s="197">
        <f>IFERROR(VLOOKUP(C140,'5. Depreciação'!A3:B17,2,FALSE),0)</f>
        <v>48.68</v>
      </c>
      <c r="D142" s="173">
        <f>E139</f>
        <v>66133.44913319475</v>
      </c>
      <c r="E142" s="214">
        <f>C142*D142/100</f>
        <v>32193.763038039204</v>
      </c>
      <c r="F142" s="260"/>
    </row>
    <row r="143" spans="1:6" ht="15.75" x14ac:dyDescent="0.2">
      <c r="A143" s="275" t="s">
        <v>108</v>
      </c>
      <c r="B143" s="120" t="s">
        <v>7</v>
      </c>
      <c r="C143" s="120">
        <f>C140*12</f>
        <v>36</v>
      </c>
      <c r="D143" s="181">
        <f>IF(C141&lt;=C140,E142,0)</f>
        <v>32193.763038039204</v>
      </c>
      <c r="E143" s="223">
        <f>IFERROR(D143/C143,0)</f>
        <v>894.27119550108898</v>
      </c>
      <c r="F143" s="260"/>
    </row>
    <row r="144" spans="1:6" ht="15.75" x14ac:dyDescent="0.2">
      <c r="A144" s="276" t="s">
        <v>242</v>
      </c>
      <c r="B144" s="277"/>
      <c r="C144" s="277"/>
      <c r="D144" s="278"/>
      <c r="E144" s="224">
        <f>E138+E143</f>
        <v>5165.1974732788667</v>
      </c>
      <c r="F144" s="260"/>
    </row>
    <row r="145" spans="1:6" ht="15.75" x14ac:dyDescent="0.2">
      <c r="A145" s="275" t="s">
        <v>243</v>
      </c>
      <c r="B145" s="120" t="s">
        <v>9</v>
      </c>
      <c r="C145" s="30">
        <v>1</v>
      </c>
      <c r="D145" s="181">
        <f>E144</f>
        <v>5165.1974732788667</v>
      </c>
      <c r="E145" s="224">
        <f>C145*D145</f>
        <v>5165.1974732788667</v>
      </c>
      <c r="F145" s="260"/>
    </row>
    <row r="146" spans="1:6" ht="16.5" thickBot="1" x14ac:dyDescent="0.25">
      <c r="A146" s="506" t="str">
        <f>F133</f>
        <v>Total (R$)</v>
      </c>
      <c r="B146" s="507"/>
      <c r="C146" s="508"/>
      <c r="D146" s="257" t="s">
        <v>301</v>
      </c>
      <c r="E146" s="350">
        <f>$B$41</f>
        <v>0.72719999999999996</v>
      </c>
      <c r="F146" s="211">
        <f>(E145*E146)*1.08</f>
        <v>4056.6221307738633</v>
      </c>
    </row>
    <row r="147" spans="1:6" ht="15.75" x14ac:dyDescent="0.2">
      <c r="A147" s="98"/>
      <c r="B147" s="98"/>
      <c r="C147" s="98"/>
      <c r="D147" s="130"/>
      <c r="E147" s="130"/>
      <c r="F147" s="130"/>
    </row>
    <row r="148" spans="1:6" ht="16.5" thickBot="1" x14ac:dyDescent="0.25">
      <c r="A148" s="221" t="s">
        <v>345</v>
      </c>
      <c r="B148" s="98"/>
      <c r="C148" s="98"/>
      <c r="D148" s="130"/>
      <c r="E148" s="130"/>
      <c r="F148" s="130"/>
    </row>
    <row r="149" spans="1:6" ht="16.5" thickBot="1" x14ac:dyDescent="0.25">
      <c r="A149" s="166" t="s">
        <v>65</v>
      </c>
      <c r="B149" s="167" t="s">
        <v>66</v>
      </c>
      <c r="C149" s="167" t="s">
        <v>41</v>
      </c>
      <c r="D149" s="168" t="s">
        <v>227</v>
      </c>
      <c r="E149" s="168" t="s">
        <v>67</v>
      </c>
      <c r="F149" s="169" t="s">
        <v>300</v>
      </c>
    </row>
    <row r="150" spans="1:6" ht="15.75" x14ac:dyDescent="0.2">
      <c r="A150" s="251" t="s">
        <v>109</v>
      </c>
      <c r="B150" s="37" t="s">
        <v>9</v>
      </c>
      <c r="C150" s="37">
        <v>1</v>
      </c>
      <c r="D150" s="171">
        <f>D134</f>
        <v>315845</v>
      </c>
      <c r="E150" s="215">
        <f>C150*D150</f>
        <v>315845</v>
      </c>
      <c r="F150" s="279"/>
    </row>
    <row r="151" spans="1:6" ht="15.75" x14ac:dyDescent="0.2">
      <c r="A151" s="31" t="s">
        <v>205</v>
      </c>
      <c r="B151" s="25" t="s">
        <v>2</v>
      </c>
      <c r="C151" s="30">
        <v>13.75</v>
      </c>
      <c r="D151" s="173"/>
      <c r="E151" s="214"/>
      <c r="F151" s="273"/>
    </row>
    <row r="152" spans="1:6" ht="15.75" x14ac:dyDescent="0.2">
      <c r="A152" s="31" t="s">
        <v>203</v>
      </c>
      <c r="B152" s="25" t="s">
        <v>34</v>
      </c>
      <c r="C152" s="198">
        <f>IFERROR(IF(C136&lt;=C135,E134-(C137/(100*C135)*C136)*E134,E134-E137),0)</f>
        <v>315845</v>
      </c>
      <c r="D152" s="173"/>
      <c r="E152" s="214"/>
      <c r="F152" s="273"/>
    </row>
    <row r="153" spans="1:6" ht="15.75" x14ac:dyDescent="0.2">
      <c r="A153" s="31" t="s">
        <v>113</v>
      </c>
      <c r="B153" s="25" t="s">
        <v>34</v>
      </c>
      <c r="C153" s="174">
        <f>IFERROR(IF(C136&gt;=C135,C152,((((C152)-(E134-E137))*(((C135-C136)+1)/(2*(C135-C136))))+(E134-E137))),0)</f>
        <v>264593.88466666668</v>
      </c>
      <c r="D153" s="173"/>
      <c r="E153" s="214"/>
      <c r="F153" s="273"/>
    </row>
    <row r="154" spans="1:6" ht="16.5" thickBot="1" x14ac:dyDescent="0.25">
      <c r="A154" s="274" t="s">
        <v>114</v>
      </c>
      <c r="B154" s="195" t="s">
        <v>34</v>
      </c>
      <c r="C154" s="195"/>
      <c r="D154" s="199">
        <f>C151*C153/12/100</f>
        <v>3031.8049284722224</v>
      </c>
      <c r="E154" s="222">
        <f>D154</f>
        <v>3031.8049284722224</v>
      </c>
      <c r="F154" s="273"/>
    </row>
    <row r="155" spans="1:6" ht="16.5" thickTop="1" x14ac:dyDescent="0.2">
      <c r="A155" s="251" t="s">
        <v>110</v>
      </c>
      <c r="B155" s="37" t="s">
        <v>9</v>
      </c>
      <c r="C155" s="37">
        <f>C139</f>
        <v>1</v>
      </c>
      <c r="D155" s="171">
        <f>D139</f>
        <v>66133.44913319475</v>
      </c>
      <c r="E155" s="215">
        <f>C155*D155</f>
        <v>66133.44913319475</v>
      </c>
      <c r="F155" s="273"/>
    </row>
    <row r="156" spans="1:6" ht="15.75" x14ac:dyDescent="0.2">
      <c r="A156" s="31" t="s">
        <v>205</v>
      </c>
      <c r="B156" s="25" t="s">
        <v>2</v>
      </c>
      <c r="C156" s="30">
        <v>13.75</v>
      </c>
      <c r="D156" s="173"/>
      <c r="E156" s="214"/>
      <c r="F156" s="273"/>
    </row>
    <row r="157" spans="1:6" ht="15.75" x14ac:dyDescent="0.2">
      <c r="A157" s="31" t="s">
        <v>204</v>
      </c>
      <c r="B157" s="25" t="s">
        <v>34</v>
      </c>
      <c r="C157" s="198">
        <f>IFERROR(IF(C141&lt;=C140,E139-(C142/(100*C140)*C141)*E139,E139-E142),0)</f>
        <v>66133.44913319475</v>
      </c>
      <c r="D157" s="173"/>
      <c r="E157" s="214"/>
      <c r="F157" s="273"/>
    </row>
    <row r="158" spans="1:6" ht="15.75" x14ac:dyDescent="0.2">
      <c r="A158" s="31" t="s">
        <v>115</v>
      </c>
      <c r="B158" s="25" t="s">
        <v>34</v>
      </c>
      <c r="C158" s="174">
        <f>IFERROR(IF(C141&gt;=C140,C157,((((C157)-(E139-E142))*(((C140-C141)+1)/(2*(C140-C141))))+(E139-E142))),0)</f>
        <v>55402.194787181681</v>
      </c>
      <c r="D158" s="173"/>
      <c r="E158" s="214"/>
      <c r="F158" s="273"/>
    </row>
    <row r="159" spans="1:6" ht="15.75" x14ac:dyDescent="0.2">
      <c r="A159" s="275" t="s">
        <v>112</v>
      </c>
      <c r="B159" s="120" t="s">
        <v>34</v>
      </c>
      <c r="C159" s="120"/>
      <c r="D159" s="200">
        <f>C156*C158/12/100</f>
        <v>634.81681526979003</v>
      </c>
      <c r="E159" s="223">
        <f>D159</f>
        <v>634.81681526979003</v>
      </c>
      <c r="F159" s="273"/>
    </row>
    <row r="160" spans="1:6" ht="15.75" x14ac:dyDescent="0.2">
      <c r="A160" s="276" t="s">
        <v>242</v>
      </c>
      <c r="B160" s="277"/>
      <c r="C160" s="277"/>
      <c r="D160" s="278"/>
      <c r="E160" s="224">
        <f>E154+E159</f>
        <v>3666.6217437420123</v>
      </c>
      <c r="F160" s="273"/>
    </row>
    <row r="161" spans="1:6" ht="15.75" x14ac:dyDescent="0.2">
      <c r="A161" s="275" t="s">
        <v>243</v>
      </c>
      <c r="B161" s="120" t="s">
        <v>9</v>
      </c>
      <c r="C161" s="25">
        <f>C145</f>
        <v>1</v>
      </c>
      <c r="D161" s="181">
        <f>E160</f>
        <v>3666.6217437420123</v>
      </c>
      <c r="E161" s="224">
        <f>C161*D161</f>
        <v>3666.6217437420123</v>
      </c>
      <c r="F161" s="273"/>
    </row>
    <row r="162" spans="1:6" ht="16.5" thickBot="1" x14ac:dyDescent="0.25">
      <c r="A162" s="506" t="str">
        <f>F149</f>
        <v>Total (R$)</v>
      </c>
      <c r="B162" s="507"/>
      <c r="C162" s="508"/>
      <c r="D162" s="257" t="s">
        <v>301</v>
      </c>
      <c r="E162" s="350">
        <f>$B$41</f>
        <v>0.72719999999999996</v>
      </c>
      <c r="F162" s="211">
        <f>(E161*E162)*1.08</f>
        <v>2879.6767186131265</v>
      </c>
    </row>
    <row r="163" spans="1:6" ht="15.75" x14ac:dyDescent="0.2">
      <c r="A163" s="98"/>
      <c r="B163" s="98"/>
      <c r="C163" s="98"/>
      <c r="D163" s="130"/>
      <c r="E163" s="130"/>
      <c r="F163" s="130"/>
    </row>
    <row r="164" spans="1:6" ht="16.5" thickBot="1" x14ac:dyDescent="0.25">
      <c r="A164" s="220" t="s">
        <v>497</v>
      </c>
      <c r="B164" s="98"/>
      <c r="C164" s="98"/>
      <c r="D164" s="130"/>
      <c r="E164" s="130"/>
      <c r="F164" s="130"/>
    </row>
    <row r="165" spans="1:6" ht="16.5" thickBot="1" x14ac:dyDescent="0.25">
      <c r="A165" s="166" t="s">
        <v>65</v>
      </c>
      <c r="B165" s="167" t="s">
        <v>66</v>
      </c>
      <c r="C165" s="167" t="s">
        <v>41</v>
      </c>
      <c r="D165" s="168" t="s">
        <v>227</v>
      </c>
      <c r="E165" s="168" t="s">
        <v>67</v>
      </c>
      <c r="F165" s="169" t="s">
        <v>300</v>
      </c>
    </row>
    <row r="166" spans="1:6" ht="15.75" x14ac:dyDescent="0.2">
      <c r="A166" s="251" t="s">
        <v>11</v>
      </c>
      <c r="B166" s="37" t="s">
        <v>9</v>
      </c>
      <c r="C166" s="171">
        <f>C134</f>
        <v>1</v>
      </c>
      <c r="D166" s="371">
        <v>2145.5674082784858</v>
      </c>
      <c r="E166" s="171">
        <f>C166*D166</f>
        <v>2145.5674082784858</v>
      </c>
      <c r="F166" s="259"/>
    </row>
    <row r="167" spans="1:6" ht="15.75" x14ac:dyDescent="0.2">
      <c r="A167" s="31" t="s">
        <v>192</v>
      </c>
      <c r="B167" s="25" t="s">
        <v>9</v>
      </c>
      <c r="C167" s="171">
        <f>C134</f>
        <v>1</v>
      </c>
      <c r="D167" s="185">
        <f>66.7+5.78</f>
        <v>72.48</v>
      </c>
      <c r="E167" s="173">
        <f>C167*D167</f>
        <v>72.48</v>
      </c>
      <c r="F167" s="260"/>
    </row>
    <row r="168" spans="1:6" ht="15.75" x14ac:dyDescent="0.2">
      <c r="A168" s="31" t="s">
        <v>12</v>
      </c>
      <c r="B168" s="25" t="s">
        <v>9</v>
      </c>
      <c r="C168" s="171">
        <f>C134</f>
        <v>1</v>
      </c>
      <c r="D168" s="367">
        <v>5613.8037992208674</v>
      </c>
      <c r="E168" s="173">
        <f>C168*D168</f>
        <v>5613.8037992208674</v>
      </c>
      <c r="F168" s="280"/>
    </row>
    <row r="169" spans="1:6" ht="15.75" x14ac:dyDescent="0.2">
      <c r="A169" s="275" t="s">
        <v>13</v>
      </c>
      <c r="B169" s="120" t="s">
        <v>7</v>
      </c>
      <c r="C169" s="120">
        <v>12</v>
      </c>
      <c r="D169" s="181">
        <f>SUM(E166:E168)</f>
        <v>7831.8512074993532</v>
      </c>
      <c r="E169" s="181">
        <f>D169/C169</f>
        <v>652.65426729161277</v>
      </c>
      <c r="F169" s="260"/>
    </row>
    <row r="170" spans="1:6" ht="16.5" thickBot="1" x14ac:dyDescent="0.25">
      <c r="A170" s="281" t="str">
        <f>F165</f>
        <v>Total (R$)</v>
      </c>
      <c r="B170" s="282"/>
      <c r="C170" s="282"/>
      <c r="D170" s="257" t="s">
        <v>301</v>
      </c>
      <c r="E170" s="349">
        <f>$B$41</f>
        <v>0.72719999999999996</v>
      </c>
      <c r="F170" s="211">
        <f>E169*E170</f>
        <v>474.61018317446076</v>
      </c>
    </row>
    <row r="171" spans="1:6" ht="15.75" x14ac:dyDescent="0.2">
      <c r="A171" s="98"/>
      <c r="B171" s="98"/>
      <c r="C171" s="98"/>
      <c r="D171" s="130"/>
      <c r="E171" s="130"/>
      <c r="F171" s="130"/>
    </row>
    <row r="172" spans="1:6" ht="15.75" x14ac:dyDescent="0.2">
      <c r="A172" s="220" t="s">
        <v>498</v>
      </c>
      <c r="B172" s="201"/>
      <c r="C172" s="98"/>
      <c r="D172" s="130"/>
      <c r="E172" s="130"/>
      <c r="F172" s="130"/>
    </row>
    <row r="173" spans="1:6" ht="16.5" thickBot="1" x14ac:dyDescent="0.25">
      <c r="A173" s="98"/>
      <c r="B173" s="201"/>
      <c r="C173" s="98"/>
      <c r="D173" s="130"/>
      <c r="E173" s="130"/>
      <c r="F173" s="130"/>
    </row>
    <row r="174" spans="1:6" ht="16.5" thickBot="1" x14ac:dyDescent="0.25">
      <c r="A174" s="186" t="s">
        <v>117</v>
      </c>
      <c r="B174" s="385">
        <v>1553.6</v>
      </c>
      <c r="C174" s="98"/>
      <c r="D174" s="130"/>
      <c r="E174" s="130"/>
      <c r="F174" s="130"/>
    </row>
    <row r="175" spans="1:6" ht="16.5" thickBot="1" x14ac:dyDescent="0.25">
      <c r="A175" s="98"/>
      <c r="B175" s="201"/>
      <c r="C175" s="98"/>
      <c r="D175" s="130"/>
      <c r="E175" s="130"/>
      <c r="F175" s="130"/>
    </row>
    <row r="176" spans="1:6" ht="16.5" thickBot="1" x14ac:dyDescent="0.25">
      <c r="A176" s="166" t="s">
        <v>65</v>
      </c>
      <c r="B176" s="167" t="s">
        <v>66</v>
      </c>
      <c r="C176" s="167" t="s">
        <v>241</v>
      </c>
      <c r="D176" s="168" t="s">
        <v>227</v>
      </c>
      <c r="E176" s="168" t="s">
        <v>67</v>
      </c>
      <c r="F176" s="169" t="s">
        <v>300</v>
      </c>
    </row>
    <row r="177" spans="1:6" ht="15.75" x14ac:dyDescent="0.2">
      <c r="A177" s="283" t="s">
        <v>14</v>
      </c>
      <c r="B177" s="226" t="s">
        <v>15</v>
      </c>
      <c r="C177" s="227">
        <v>1.9</v>
      </c>
      <c r="D177" s="378">
        <v>5.81</v>
      </c>
      <c r="E177" s="240"/>
      <c r="F177" s="259"/>
    </row>
    <row r="178" spans="1:6" ht="15.75" x14ac:dyDescent="0.2">
      <c r="A178" s="284" t="s">
        <v>16</v>
      </c>
      <c r="B178" s="231" t="s">
        <v>17</v>
      </c>
      <c r="C178" s="387">
        <f>SUM(B174)</f>
        <v>1553.6</v>
      </c>
      <c r="D178" s="233">
        <f>IFERROR(+D177/C177,"-")</f>
        <v>3.0578947368421052</v>
      </c>
      <c r="E178" s="241">
        <f>IFERROR(C178*D178,"-")</f>
        <v>4750.7452631578944</v>
      </c>
      <c r="F178" s="260"/>
    </row>
    <row r="179" spans="1:6" ht="15.75" x14ac:dyDescent="0.2">
      <c r="A179" s="70" t="s">
        <v>228</v>
      </c>
      <c r="B179" s="237" t="s">
        <v>18</v>
      </c>
      <c r="C179" s="238">
        <v>6</v>
      </c>
      <c r="D179" s="374">
        <v>34.145729622673869</v>
      </c>
      <c r="E179" s="242"/>
      <c r="F179" s="260"/>
    </row>
    <row r="180" spans="1:6" ht="15.75" x14ac:dyDescent="0.2">
      <c r="A180" s="69" t="s">
        <v>19</v>
      </c>
      <c r="B180" s="228" t="s">
        <v>17</v>
      </c>
      <c r="C180" s="388">
        <f>C178</f>
        <v>1553.6</v>
      </c>
      <c r="D180" s="230">
        <f>+C179*D179/1000</f>
        <v>0.20487437773604322</v>
      </c>
      <c r="E180" s="243">
        <f>C180*D180</f>
        <v>318.29283325071674</v>
      </c>
      <c r="F180" s="260"/>
    </row>
    <row r="181" spans="1:6" ht="15.75" x14ac:dyDescent="0.2">
      <c r="A181" s="285" t="s">
        <v>229</v>
      </c>
      <c r="B181" s="234" t="s">
        <v>18</v>
      </c>
      <c r="C181" s="235">
        <v>6.5</v>
      </c>
      <c r="D181" s="375">
        <v>64.057388772136164</v>
      </c>
      <c r="E181" s="244"/>
      <c r="F181" s="260"/>
    </row>
    <row r="182" spans="1:6" ht="15.75" x14ac:dyDescent="0.2">
      <c r="A182" s="69" t="s">
        <v>20</v>
      </c>
      <c r="B182" s="228" t="s">
        <v>17</v>
      </c>
      <c r="C182" s="388">
        <f>C178</f>
        <v>1553.6</v>
      </c>
      <c r="D182" s="230">
        <f>+C181*D181/1000</f>
        <v>0.41637302701888507</v>
      </c>
      <c r="E182" s="243">
        <f>C182*D182</f>
        <v>646.87713477653983</v>
      </c>
      <c r="F182" s="260"/>
    </row>
    <row r="183" spans="1:6" ht="15.75" x14ac:dyDescent="0.2">
      <c r="A183" s="70" t="s">
        <v>230</v>
      </c>
      <c r="B183" s="237" t="s">
        <v>18</v>
      </c>
      <c r="C183" s="238">
        <v>10</v>
      </c>
      <c r="D183" s="374">
        <v>11.404673693973072</v>
      </c>
      <c r="E183" s="242"/>
      <c r="F183" s="260"/>
    </row>
    <row r="184" spans="1:6" ht="15.75" x14ac:dyDescent="0.2">
      <c r="A184" s="69" t="s">
        <v>21</v>
      </c>
      <c r="B184" s="228" t="s">
        <v>17</v>
      </c>
      <c r="C184" s="388">
        <f>C178</f>
        <v>1553.6</v>
      </c>
      <c r="D184" s="230">
        <f>+C183*D183/1000</f>
        <v>0.11404673693973072</v>
      </c>
      <c r="E184" s="243">
        <f>C184*D184</f>
        <v>177.18301050956563</v>
      </c>
      <c r="F184" s="260"/>
    </row>
    <row r="185" spans="1:6" ht="15.75" x14ac:dyDescent="0.2">
      <c r="A185" s="70" t="s">
        <v>22</v>
      </c>
      <c r="B185" s="237" t="s">
        <v>23</v>
      </c>
      <c r="C185" s="238">
        <v>2</v>
      </c>
      <c r="D185" s="374">
        <v>27.180000779648395</v>
      </c>
      <c r="E185" s="242"/>
      <c r="F185" s="260"/>
    </row>
    <row r="186" spans="1:6" ht="15.75" x14ac:dyDescent="0.2">
      <c r="A186" s="69" t="s">
        <v>24</v>
      </c>
      <c r="B186" s="228" t="s">
        <v>17</v>
      </c>
      <c r="C186" s="388">
        <f>C178</f>
        <v>1553.6</v>
      </c>
      <c r="D186" s="230">
        <f>+C185*D185/1000</f>
        <v>5.4360001559296788E-2</v>
      </c>
      <c r="E186" s="243">
        <f>C186*D186</f>
        <v>84.453698422523487</v>
      </c>
      <c r="F186" s="260"/>
    </row>
    <row r="187" spans="1:6" ht="15.75" x14ac:dyDescent="0.2">
      <c r="A187" s="275" t="s">
        <v>240</v>
      </c>
      <c r="B187" s="120" t="s">
        <v>118</v>
      </c>
      <c r="C187" s="203"/>
      <c r="D187" s="204">
        <f>IFERROR(D178+D180+D182+D184+D186,0)</f>
        <v>3.8475488800960607</v>
      </c>
      <c r="E187" s="214"/>
      <c r="F187" s="260"/>
    </row>
    <row r="188" spans="1:6" ht="16.5" thickBot="1" x14ac:dyDescent="0.25">
      <c r="A188" s="509" t="str">
        <f>F176</f>
        <v>Total (R$)</v>
      </c>
      <c r="B188" s="510"/>
      <c r="C188" s="510"/>
      <c r="D188" s="510"/>
      <c r="E188" s="511"/>
      <c r="F188" s="211">
        <f>SUM(E177:E186)</f>
        <v>5977.5519401172396</v>
      </c>
    </row>
    <row r="189" spans="1:6" ht="15.75" x14ac:dyDescent="0.2">
      <c r="A189" s="98"/>
      <c r="B189" s="98"/>
      <c r="C189" s="98"/>
      <c r="D189" s="130"/>
      <c r="E189" s="130"/>
      <c r="F189" s="130"/>
    </row>
    <row r="190" spans="1:6" ht="16.5" thickBot="1" x14ac:dyDescent="0.25">
      <c r="A190" s="220" t="s">
        <v>499</v>
      </c>
      <c r="B190" s="98"/>
      <c r="C190" s="98"/>
      <c r="D190" s="130"/>
      <c r="E190" s="130"/>
      <c r="F190" s="130"/>
    </row>
    <row r="191" spans="1:6" ht="16.5" thickBot="1" x14ac:dyDescent="0.25">
      <c r="A191" s="166" t="s">
        <v>65</v>
      </c>
      <c r="B191" s="167" t="s">
        <v>66</v>
      </c>
      <c r="C191" s="167" t="s">
        <v>41</v>
      </c>
      <c r="D191" s="168" t="s">
        <v>227</v>
      </c>
      <c r="E191" s="168" t="s">
        <v>67</v>
      </c>
      <c r="F191" s="169" t="s">
        <v>300</v>
      </c>
    </row>
    <row r="192" spans="1:6" ht="15.75" x14ac:dyDescent="0.2">
      <c r="A192" s="251" t="s">
        <v>116</v>
      </c>
      <c r="B192" s="37" t="s">
        <v>118</v>
      </c>
      <c r="C192" s="173">
        <f>C178</f>
        <v>1553.6</v>
      </c>
      <c r="D192" s="370">
        <v>0.74</v>
      </c>
      <c r="E192" s="215">
        <f>C192*D192</f>
        <v>1149.664</v>
      </c>
      <c r="F192" s="259"/>
    </row>
    <row r="193" spans="1:6" ht="16.5" thickBot="1" x14ac:dyDescent="0.25">
      <c r="A193" s="509" t="str">
        <f>F191</f>
        <v>Total (R$)</v>
      </c>
      <c r="B193" s="510"/>
      <c r="C193" s="510"/>
      <c r="D193" s="510"/>
      <c r="E193" s="511"/>
      <c r="F193" s="211">
        <f>E192</f>
        <v>1149.664</v>
      </c>
    </row>
    <row r="194" spans="1:6" ht="15.75" x14ac:dyDescent="0.2">
      <c r="A194" s="98"/>
      <c r="B194" s="98"/>
      <c r="C194" s="98"/>
      <c r="D194" s="130"/>
      <c r="E194" s="130"/>
      <c r="F194" s="130"/>
    </row>
    <row r="195" spans="1:6" ht="16.5" thickBot="1" x14ac:dyDescent="0.25">
      <c r="A195" s="220" t="s">
        <v>500</v>
      </c>
      <c r="B195" s="98"/>
      <c r="C195" s="98"/>
      <c r="D195" s="130"/>
      <c r="E195" s="130"/>
      <c r="F195" s="130"/>
    </row>
    <row r="196" spans="1:6" ht="16.5" thickBot="1" x14ac:dyDescent="0.25">
      <c r="A196" s="166" t="s">
        <v>65</v>
      </c>
      <c r="B196" s="167" t="s">
        <v>66</v>
      </c>
      <c r="C196" s="167" t="s">
        <v>41</v>
      </c>
      <c r="D196" s="168" t="s">
        <v>227</v>
      </c>
      <c r="E196" s="168" t="s">
        <v>67</v>
      </c>
      <c r="F196" s="169" t="s">
        <v>300</v>
      </c>
    </row>
    <row r="197" spans="1:6" ht="15.75" x14ac:dyDescent="0.2">
      <c r="A197" s="251" t="s">
        <v>310</v>
      </c>
      <c r="B197" s="37" t="s">
        <v>9</v>
      </c>
      <c r="C197" s="205">
        <v>6</v>
      </c>
      <c r="D197" s="370">
        <v>1709.6</v>
      </c>
      <c r="E197" s="215">
        <f>C197*D197</f>
        <v>10257.599999999999</v>
      </c>
      <c r="F197" s="259"/>
    </row>
    <row r="198" spans="1:6" ht="15.75" x14ac:dyDescent="0.2">
      <c r="A198" s="251" t="s">
        <v>119</v>
      </c>
      <c r="B198" s="37" t="s">
        <v>9</v>
      </c>
      <c r="C198" s="205">
        <v>1</v>
      </c>
      <c r="D198" s="206"/>
      <c r="E198" s="215"/>
      <c r="F198" s="260"/>
    </row>
    <row r="199" spans="1:6" ht="15.75" x14ac:dyDescent="0.2">
      <c r="A199" s="251" t="s">
        <v>72</v>
      </c>
      <c r="B199" s="37" t="s">
        <v>9</v>
      </c>
      <c r="C199" s="171">
        <f>C197*C198</f>
        <v>6</v>
      </c>
      <c r="D199" s="370">
        <v>751.20605169882504</v>
      </c>
      <c r="E199" s="215">
        <f>C199*D199</f>
        <v>4507.2363101929504</v>
      </c>
      <c r="F199" s="260"/>
    </row>
    <row r="200" spans="1:6" ht="15.75" x14ac:dyDescent="0.2">
      <c r="A200" s="31" t="s">
        <v>309</v>
      </c>
      <c r="B200" s="25" t="s">
        <v>25</v>
      </c>
      <c r="C200" s="207">
        <v>50000</v>
      </c>
      <c r="D200" s="173">
        <f>E197+E199</f>
        <v>14764.83631019295</v>
      </c>
      <c r="E200" s="214">
        <f>IFERROR(D200/C200,"-")</f>
        <v>0.29529672620385899</v>
      </c>
      <c r="F200" s="260"/>
    </row>
    <row r="201" spans="1:6" ht="15.75" x14ac:dyDescent="0.2">
      <c r="A201" s="31" t="s">
        <v>56</v>
      </c>
      <c r="B201" s="25" t="s">
        <v>17</v>
      </c>
      <c r="C201" s="173">
        <f>B174</f>
        <v>1553.6</v>
      </c>
      <c r="D201" s="173">
        <f>E200</f>
        <v>0.29529672620385899</v>
      </c>
      <c r="E201" s="214">
        <f>IFERROR(C201*D201,0)</f>
        <v>458.77299383031533</v>
      </c>
      <c r="F201" s="260"/>
    </row>
    <row r="202" spans="1:6" ht="16.5" thickBot="1" x14ac:dyDescent="0.25">
      <c r="A202" s="509" t="str">
        <f>F196</f>
        <v>Total (R$)</v>
      </c>
      <c r="B202" s="510"/>
      <c r="C202" s="510"/>
      <c r="D202" s="510"/>
      <c r="E202" s="511"/>
      <c r="F202" s="211">
        <f>E201</f>
        <v>458.77299383031533</v>
      </c>
    </row>
    <row r="203" spans="1:6" ht="15.75" x14ac:dyDescent="0.2">
      <c r="A203" s="98"/>
      <c r="B203" s="98"/>
      <c r="C203" s="98"/>
      <c r="D203" s="130"/>
      <c r="E203" s="130"/>
      <c r="F203" s="130"/>
    </row>
    <row r="204" spans="1:6" ht="16.5" thickBot="1" x14ac:dyDescent="0.25">
      <c r="A204" s="98"/>
      <c r="B204" s="98"/>
      <c r="C204" s="98"/>
      <c r="D204" s="130"/>
      <c r="E204" s="130"/>
      <c r="F204" s="130"/>
    </row>
    <row r="205" spans="1:6" ht="16.5" thickBot="1" x14ac:dyDescent="0.25">
      <c r="A205" s="217" t="s">
        <v>219</v>
      </c>
      <c r="B205" s="218"/>
      <c r="C205" s="218"/>
      <c r="D205" s="156"/>
      <c r="E205" s="156"/>
      <c r="F205" s="213">
        <f>+SUM(F134:F204)</f>
        <v>14996.897966509006</v>
      </c>
    </row>
    <row r="206" spans="1:6" ht="15.75" x14ac:dyDescent="0.2">
      <c r="A206" s="98"/>
      <c r="B206" s="98"/>
      <c r="C206" s="98"/>
      <c r="D206" s="130"/>
      <c r="E206" s="130"/>
      <c r="F206" s="130"/>
    </row>
    <row r="207" spans="1:6" ht="15.75" x14ac:dyDescent="0.2">
      <c r="A207" s="107" t="s">
        <v>75</v>
      </c>
      <c r="B207" s="107"/>
      <c r="C207" s="107"/>
      <c r="D207" s="128"/>
      <c r="E207" s="128"/>
      <c r="F207" s="208"/>
    </row>
    <row r="208" spans="1:6" ht="16.5" thickBot="1" x14ac:dyDescent="0.25">
      <c r="A208" s="98"/>
      <c r="B208" s="98"/>
      <c r="C208" s="98"/>
      <c r="D208" s="130"/>
      <c r="E208" s="130"/>
      <c r="F208" s="130"/>
    </row>
    <row r="209" spans="1:6" ht="16.5" thickBot="1" x14ac:dyDescent="0.25">
      <c r="A209" s="166" t="s">
        <v>65</v>
      </c>
      <c r="B209" s="167" t="s">
        <v>66</v>
      </c>
      <c r="C209" s="167" t="s">
        <v>41</v>
      </c>
      <c r="D209" s="168" t="s">
        <v>227</v>
      </c>
      <c r="E209" s="168" t="s">
        <v>67</v>
      </c>
      <c r="F209" s="169" t="s">
        <v>300</v>
      </c>
    </row>
    <row r="210" spans="1:6" ht="15.75" x14ac:dyDescent="0.2">
      <c r="A210" s="31" t="s">
        <v>73</v>
      </c>
      <c r="B210" s="25" t="s">
        <v>9</v>
      </c>
      <c r="C210" s="191">
        <v>2</v>
      </c>
      <c r="D210" s="370">
        <v>39.472463443810987</v>
      </c>
      <c r="E210" s="214">
        <f>C210*D210/12</f>
        <v>6.5787439073018312</v>
      </c>
      <c r="F210" s="279"/>
    </row>
    <row r="211" spans="1:6" ht="15.75" x14ac:dyDescent="0.2">
      <c r="A211" s="31" t="s">
        <v>27</v>
      </c>
      <c r="B211" s="25" t="s">
        <v>9</v>
      </c>
      <c r="C211" s="191">
        <v>4</v>
      </c>
      <c r="D211" s="370">
        <v>29.911659149462309</v>
      </c>
      <c r="E211" s="214">
        <f t="shared" ref="E211:E214" si="5">C211*D211/12</f>
        <v>9.9705530498207704</v>
      </c>
      <c r="F211" s="273"/>
    </row>
    <row r="212" spans="1:6" ht="15.75" x14ac:dyDescent="0.2">
      <c r="A212" s="31" t="s">
        <v>28</v>
      </c>
      <c r="B212" s="25" t="s">
        <v>9</v>
      </c>
      <c r="C212" s="191">
        <v>6</v>
      </c>
      <c r="D212" s="170">
        <v>24.9</v>
      </c>
      <c r="E212" s="214">
        <f t="shared" si="5"/>
        <v>12.449999999999998</v>
      </c>
      <c r="F212" s="273"/>
    </row>
    <row r="213" spans="1:6" ht="15.75" x14ac:dyDescent="0.2">
      <c r="A213" s="31" t="s">
        <v>58</v>
      </c>
      <c r="B213" s="25" t="s">
        <v>59</v>
      </c>
      <c r="C213" s="191">
        <v>1</v>
      </c>
      <c r="D213" s="370">
        <v>286.8241288304605</v>
      </c>
      <c r="E213" s="214">
        <f t="shared" si="5"/>
        <v>23.902010735871709</v>
      </c>
      <c r="F213" s="273"/>
    </row>
    <row r="214" spans="1:6" ht="15.75" x14ac:dyDescent="0.2">
      <c r="A214" s="31" t="s">
        <v>61</v>
      </c>
      <c r="B214" s="25" t="s">
        <v>59</v>
      </c>
      <c r="C214" s="191">
        <v>1</v>
      </c>
      <c r="D214" s="370">
        <v>245.84925328325184</v>
      </c>
      <c r="E214" s="214">
        <f t="shared" si="5"/>
        <v>20.48743777360432</v>
      </c>
      <c r="F214" s="273"/>
    </row>
    <row r="215" spans="1:6" ht="16.5" thickBot="1" x14ac:dyDescent="0.25">
      <c r="A215" s="509" t="s">
        <v>337</v>
      </c>
      <c r="B215" s="497"/>
      <c r="C215" s="286"/>
      <c r="D215" s="257" t="s">
        <v>301</v>
      </c>
      <c r="E215" s="350">
        <f>$B$41</f>
        <v>0.72719999999999996</v>
      </c>
      <c r="F215" s="211">
        <f>(E210+E211+E212+E213+E214)*E215</f>
        <v>53.368295703310523</v>
      </c>
    </row>
    <row r="216" spans="1:6" ht="16.5" thickBot="1" x14ac:dyDescent="0.25">
      <c r="A216" s="98"/>
      <c r="B216" s="98"/>
      <c r="C216" s="98"/>
      <c r="D216" s="130"/>
      <c r="E216" s="130"/>
      <c r="F216" s="130"/>
    </row>
    <row r="217" spans="1:6" ht="16.5" thickBot="1" x14ac:dyDescent="0.25">
      <c r="A217" s="528" t="s">
        <v>220</v>
      </c>
      <c r="B217" s="529"/>
      <c r="C217" s="529"/>
      <c r="D217" s="529"/>
      <c r="E217" s="529"/>
      <c r="F217" s="178">
        <f>+F215</f>
        <v>53.368295703310523</v>
      </c>
    </row>
    <row r="218" spans="1:6" ht="15.75" x14ac:dyDescent="0.2">
      <c r="A218" s="98"/>
      <c r="B218" s="98"/>
      <c r="C218" s="98"/>
      <c r="D218" s="130"/>
      <c r="E218" s="130"/>
      <c r="F218" s="130"/>
    </row>
    <row r="219" spans="1:6" ht="15.75" x14ac:dyDescent="0.2">
      <c r="A219" s="107" t="s">
        <v>76</v>
      </c>
      <c r="B219" s="107"/>
      <c r="C219" s="107"/>
      <c r="D219" s="128"/>
      <c r="E219" s="128"/>
      <c r="F219" s="208"/>
    </row>
    <row r="220" spans="1:6" ht="16.5" thickBot="1" x14ac:dyDescent="0.25">
      <c r="A220" s="98"/>
      <c r="B220" s="98"/>
      <c r="C220" s="98"/>
      <c r="D220" s="130"/>
      <c r="E220" s="130"/>
      <c r="F220" s="130"/>
    </row>
    <row r="221" spans="1:6" ht="16.5" thickBot="1" x14ac:dyDescent="0.25">
      <c r="A221" s="166" t="s">
        <v>65</v>
      </c>
      <c r="B221" s="167" t="s">
        <v>66</v>
      </c>
      <c r="C221" s="167" t="s">
        <v>41</v>
      </c>
      <c r="D221" s="168" t="s">
        <v>227</v>
      </c>
      <c r="E221" s="168" t="s">
        <v>67</v>
      </c>
      <c r="F221" s="169" t="s">
        <v>300</v>
      </c>
    </row>
    <row r="222" spans="1:6" ht="15.75" x14ac:dyDescent="0.2">
      <c r="A222" s="31" t="s">
        <v>217</v>
      </c>
      <c r="B222" s="25" t="s">
        <v>59</v>
      </c>
      <c r="C222" s="192">
        <f>C134</f>
        <v>1</v>
      </c>
      <c r="D222" s="367">
        <v>1160.9548071709116</v>
      </c>
      <c r="E222" s="214">
        <f>+D222*C222</f>
        <v>1160.9548071709116</v>
      </c>
      <c r="F222" s="279"/>
    </row>
    <row r="223" spans="1:6" ht="15.75" x14ac:dyDescent="0.2">
      <c r="A223" s="31" t="s">
        <v>62</v>
      </c>
      <c r="B223" s="25" t="s">
        <v>7</v>
      </c>
      <c r="C223" s="25">
        <v>60</v>
      </c>
      <c r="D223" s="173">
        <f>SUM(E222:E222)</f>
        <v>1160.9548071709116</v>
      </c>
      <c r="E223" s="214">
        <f>+D223/C223</f>
        <v>19.349246786181862</v>
      </c>
      <c r="F223" s="273"/>
    </row>
    <row r="224" spans="1:6" ht="15.75" x14ac:dyDescent="0.2">
      <c r="A224" s="31" t="s">
        <v>218</v>
      </c>
      <c r="B224" s="25" t="s">
        <v>9</v>
      </c>
      <c r="C224" s="192">
        <f>+C222</f>
        <v>1</v>
      </c>
      <c r="D224" s="367">
        <v>102.43718886802201</v>
      </c>
      <c r="E224" s="214">
        <f>C224*D224</f>
        <v>102.43718886802201</v>
      </c>
      <c r="F224" s="273"/>
    </row>
    <row r="225" spans="1:6" ht="15.75" x14ac:dyDescent="0.2">
      <c r="A225" s="31" t="s">
        <v>38</v>
      </c>
      <c r="B225" s="25" t="s">
        <v>7</v>
      </c>
      <c r="C225" s="25">
        <v>1</v>
      </c>
      <c r="D225" s="173">
        <f>+E224</f>
        <v>102.43718886802201</v>
      </c>
      <c r="E225" s="214">
        <f>+D225/C225</f>
        <v>102.43718886802201</v>
      </c>
      <c r="F225" s="273"/>
    </row>
    <row r="226" spans="1:6" ht="16.5" thickBot="1" x14ac:dyDescent="0.25">
      <c r="A226" s="509" t="str">
        <f>F221</f>
        <v>Total (R$)</v>
      </c>
      <c r="B226" s="497"/>
      <c r="C226" s="286"/>
      <c r="D226" s="257" t="s">
        <v>301</v>
      </c>
      <c r="E226" s="350">
        <f>$B$41</f>
        <v>0.72719999999999996</v>
      </c>
      <c r="F226" s="211">
        <f>(E223+E225)*E226</f>
        <v>88.563096007737045</v>
      </c>
    </row>
    <row r="227" spans="1:6" ht="16.5" thickBot="1" x14ac:dyDescent="0.25">
      <c r="A227" s="98"/>
      <c r="B227" s="98"/>
      <c r="C227" s="98"/>
      <c r="D227" s="130"/>
      <c r="E227" s="130"/>
      <c r="F227" s="130"/>
    </row>
    <row r="228" spans="1:6" ht="16.5" thickBot="1" x14ac:dyDescent="0.25">
      <c r="A228" s="217" t="s">
        <v>216</v>
      </c>
      <c r="B228" s="218"/>
      <c r="C228" s="218"/>
      <c r="D228" s="156"/>
      <c r="E228" s="156"/>
      <c r="F228" s="178">
        <f>+F226</f>
        <v>88.563096007737045</v>
      </c>
    </row>
    <row r="229" spans="1:6" ht="16.5" thickBot="1" x14ac:dyDescent="0.25">
      <c r="A229" s="98"/>
      <c r="B229" s="98"/>
      <c r="C229" s="98"/>
      <c r="D229" s="130"/>
      <c r="E229" s="130"/>
      <c r="F229" s="130"/>
    </row>
    <row r="230" spans="1:6" ht="16.5" thickBot="1" x14ac:dyDescent="0.25">
      <c r="A230" s="217" t="s">
        <v>221</v>
      </c>
      <c r="B230" s="271"/>
      <c r="C230" s="271"/>
      <c r="D230" s="272"/>
      <c r="E230" s="272"/>
      <c r="F230" s="219">
        <f>+F92+F126+F205+F217+F228</f>
        <v>26123.49932459211</v>
      </c>
    </row>
    <row r="231" spans="1:6" ht="15.75" x14ac:dyDescent="0.2">
      <c r="A231" s="98"/>
      <c r="B231" s="98"/>
      <c r="C231" s="98"/>
      <c r="D231" s="130"/>
      <c r="E231" s="130"/>
      <c r="F231" s="130"/>
    </row>
    <row r="232" spans="1:6" ht="15.75" x14ac:dyDescent="0.2">
      <c r="A232" s="107" t="s">
        <v>90</v>
      </c>
      <c r="B232" s="98"/>
      <c r="C232" s="98"/>
      <c r="D232" s="130"/>
      <c r="E232" s="130"/>
      <c r="F232" s="130"/>
    </row>
    <row r="233" spans="1:6" ht="16.5" thickBot="1" x14ac:dyDescent="0.25">
      <c r="A233" s="98"/>
      <c r="B233" s="98"/>
      <c r="C233" s="98"/>
      <c r="D233" s="130"/>
      <c r="E233" s="130"/>
      <c r="F233" s="130"/>
    </row>
    <row r="234" spans="1:6" ht="16.5" thickBot="1" x14ac:dyDescent="0.25">
      <c r="A234" s="166" t="s">
        <v>65</v>
      </c>
      <c r="B234" s="167" t="s">
        <v>66</v>
      </c>
      <c r="C234" s="167" t="s">
        <v>41</v>
      </c>
      <c r="D234" s="168" t="s">
        <v>227</v>
      </c>
      <c r="E234" s="168" t="s">
        <v>67</v>
      </c>
      <c r="F234" s="169" t="s">
        <v>300</v>
      </c>
    </row>
    <row r="235" spans="1:6" ht="15.75" x14ac:dyDescent="0.2">
      <c r="A235" s="251" t="s">
        <v>37</v>
      </c>
      <c r="B235" s="37" t="s">
        <v>2</v>
      </c>
      <c r="C235" s="416">
        <f>SUM('4.BDI'!B14:C14)</f>
        <v>0.21820000000000001</v>
      </c>
      <c r="D235" s="171">
        <f>+F230</f>
        <v>26123.49932459211</v>
      </c>
      <c r="E235" s="215">
        <f>C235*D235</f>
        <v>5700.1475526259983</v>
      </c>
      <c r="F235" s="259"/>
    </row>
    <row r="236" spans="1:6" ht="16.5" thickBot="1" x14ac:dyDescent="0.25">
      <c r="A236" s="509" t="str">
        <f>F234</f>
        <v>Total (R$)</v>
      </c>
      <c r="B236" s="497"/>
      <c r="C236" s="497"/>
      <c r="D236" s="497"/>
      <c r="E236" s="497"/>
      <c r="F236" s="268">
        <f>+E235</f>
        <v>5700.1475526259983</v>
      </c>
    </row>
    <row r="237" spans="1:6" ht="16.5" thickBot="1" x14ac:dyDescent="0.25">
      <c r="A237" s="98"/>
      <c r="B237" s="98"/>
      <c r="C237" s="98"/>
      <c r="D237" s="130"/>
      <c r="E237" s="130"/>
      <c r="F237" s="130"/>
    </row>
    <row r="238" spans="1:6" ht="16.5" thickBot="1" x14ac:dyDescent="0.25">
      <c r="A238" s="217" t="s">
        <v>232</v>
      </c>
      <c r="B238" s="271"/>
      <c r="C238" s="271"/>
      <c r="D238" s="272"/>
      <c r="E238" s="272"/>
      <c r="F238" s="219">
        <f>F236</f>
        <v>5700.1475526259983</v>
      </c>
    </row>
    <row r="239" spans="1:6" ht="15.75" x14ac:dyDescent="0.2">
      <c r="A239" s="107"/>
      <c r="B239" s="107"/>
      <c r="C239" s="107"/>
      <c r="D239" s="128"/>
      <c r="E239" s="128"/>
      <c r="F239" s="208"/>
    </row>
    <row r="240" spans="1:6" ht="16.5" thickBot="1" x14ac:dyDescent="0.25">
      <c r="A240" s="98"/>
      <c r="B240" s="98"/>
      <c r="C240" s="98"/>
      <c r="D240" s="130"/>
      <c r="E240" s="130"/>
      <c r="F240" s="130"/>
    </row>
    <row r="241" spans="1:6" ht="16.5" thickBot="1" x14ac:dyDescent="0.25">
      <c r="A241" s="217" t="s">
        <v>222</v>
      </c>
      <c r="B241" s="271"/>
      <c r="C241" s="271"/>
      <c r="D241" s="272"/>
      <c r="E241" s="272"/>
      <c r="F241" s="219">
        <f>F230+F238</f>
        <v>31823.646877218111</v>
      </c>
    </row>
    <row r="242" spans="1:6" ht="15.75" x14ac:dyDescent="0.2">
      <c r="A242" s="107"/>
      <c r="B242" s="107"/>
      <c r="C242" s="107"/>
      <c r="D242" s="128"/>
      <c r="E242" s="128"/>
      <c r="F242" s="128"/>
    </row>
    <row r="243" spans="1:6" ht="16.5" thickBot="1" x14ac:dyDescent="0.25">
      <c r="A243" s="98"/>
      <c r="B243" s="98"/>
      <c r="C243" s="98"/>
      <c r="D243" s="130"/>
      <c r="E243" s="130"/>
      <c r="F243" s="130"/>
    </row>
    <row r="244" spans="1:6" ht="16.5" thickBot="1" x14ac:dyDescent="0.25">
      <c r="A244" s="186" t="s">
        <v>215</v>
      </c>
      <c r="B244" s="187"/>
      <c r="C244" s="187"/>
      <c r="D244" s="386">
        <f>SUM('1.7.Destino final'!D246)</f>
        <v>340</v>
      </c>
      <c r="E244" s="189" t="s">
        <v>26</v>
      </c>
      <c r="F244" s="130"/>
    </row>
    <row r="245" spans="1:6" ht="16.5" thickBot="1" x14ac:dyDescent="0.25">
      <c r="A245" s="98"/>
      <c r="B245" s="98"/>
      <c r="C245" s="98"/>
      <c r="D245" s="130"/>
      <c r="E245" s="130"/>
      <c r="F245" s="130"/>
    </row>
    <row r="246" spans="1:6" ht="16.5" thickBot="1" x14ac:dyDescent="0.25">
      <c r="A246" s="217" t="s">
        <v>71</v>
      </c>
      <c r="B246" s="218"/>
      <c r="C246" s="218"/>
      <c r="D246" s="156"/>
      <c r="E246" s="287" t="s">
        <v>33</v>
      </c>
      <c r="F246" s="288">
        <f>IFERROR(F241/D244,"-")</f>
        <v>93.598961403582678</v>
      </c>
    </row>
  </sheetData>
  <mergeCells count="51">
    <mergeCell ref="A236:E236"/>
    <mergeCell ref="A215:B215"/>
    <mergeCell ref="A188:E188"/>
    <mergeCell ref="A193:E193"/>
    <mergeCell ref="A202:E202"/>
    <mergeCell ref="A217:E217"/>
    <mergeCell ref="A226:B226"/>
    <mergeCell ref="A162:C162"/>
    <mergeCell ref="A93:F93"/>
    <mergeCell ref="A94:F94"/>
    <mergeCell ref="A95:F95"/>
    <mergeCell ref="A96:F96"/>
    <mergeCell ref="A97:F97"/>
    <mergeCell ref="A111:C111"/>
    <mergeCell ref="A112:F112"/>
    <mergeCell ref="A113:F113"/>
    <mergeCell ref="A114:F114"/>
    <mergeCell ref="A124:C124"/>
    <mergeCell ref="A146:C146"/>
    <mergeCell ref="A90:C90"/>
    <mergeCell ref="A71:F71"/>
    <mergeCell ref="A77:E77"/>
    <mergeCell ref="A57:F57"/>
    <mergeCell ref="A65:D65"/>
    <mergeCell ref="A67:D67"/>
    <mergeCell ref="A69:C69"/>
    <mergeCell ref="A70:F70"/>
    <mergeCell ref="A78:F78"/>
    <mergeCell ref="A79:F79"/>
    <mergeCell ref="A84:C84"/>
    <mergeCell ref="A85:F85"/>
    <mergeCell ref="A86:F86"/>
    <mergeCell ref="A56:F56"/>
    <mergeCell ref="A43:F43"/>
    <mergeCell ref="A44:F44"/>
    <mergeCell ref="A45:F45"/>
    <mergeCell ref="A51:D51"/>
    <mergeCell ref="A53:D53"/>
    <mergeCell ref="A55:C55"/>
    <mergeCell ref="A42:F42"/>
    <mergeCell ref="A1:F1"/>
    <mergeCell ref="A2:F2"/>
    <mergeCell ref="A3:F3"/>
    <mergeCell ref="A4:F4"/>
    <mergeCell ref="A5:F5"/>
    <mergeCell ref="A6:F6"/>
    <mergeCell ref="A8:F8"/>
    <mergeCell ref="A16:C16"/>
    <mergeCell ref="A31:E31"/>
    <mergeCell ref="A32:D32"/>
    <mergeCell ref="A37:D37"/>
  </mergeCells>
  <hyperlinks>
    <hyperlink ref="A148" location="AbaRemun" display="3.1.2. Remuneração do Capital" xr:uid="{0985F28A-7128-4256-BD72-DFD9E51F7436}"/>
    <hyperlink ref="A132" location="AbaDeprec" display="3.1.1. Depreciação" xr:uid="{998EB80B-737A-456A-A295-019EB8424668}"/>
  </hyperlinks>
  <pageMargins left="0.511811024" right="0.511811024" top="0.78740157499999996" bottom="0.78740157499999996" header="0.31496062000000002" footer="0.31496062000000002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50"/>
  <sheetViews>
    <sheetView view="pageBreakPreview" topLeftCell="A164" zoomScaleNormal="100" zoomScaleSheetLayoutView="100" workbookViewId="0">
      <selection activeCell="D178" sqref="D178"/>
    </sheetView>
  </sheetViews>
  <sheetFormatPr defaultColWidth="9.140625" defaultRowHeight="15.75" x14ac:dyDescent="0.2"/>
  <cols>
    <col min="1" max="1" width="49.28515625" style="98" customWidth="1"/>
    <col min="2" max="2" width="19.85546875" style="98" customWidth="1"/>
    <col min="3" max="3" width="16.7109375" style="98" customWidth="1"/>
    <col min="4" max="4" width="14.7109375" style="130" customWidth="1"/>
    <col min="5" max="5" width="15.42578125" style="130" customWidth="1"/>
    <col min="6" max="6" width="13.28515625" style="130" customWidth="1"/>
    <col min="7" max="7" width="28.140625" style="130" customWidth="1"/>
    <col min="8" max="8" width="8.5703125" style="98" customWidth="1"/>
    <col min="9" max="9" width="17.28515625" style="98" customWidth="1"/>
    <col min="10" max="10" width="13.42578125" style="98" customWidth="1"/>
    <col min="11" max="11" width="11.5703125" style="98" bestFit="1" customWidth="1"/>
    <col min="12" max="12" width="15.85546875" style="98" bestFit="1" customWidth="1"/>
    <col min="13" max="16384" width="9.140625" style="98"/>
  </cols>
  <sheetData>
    <row r="1" spans="1:9" x14ac:dyDescent="0.2">
      <c r="A1" s="466" t="s">
        <v>197</v>
      </c>
      <c r="B1" s="466"/>
      <c r="C1" s="466"/>
      <c r="D1" s="466"/>
      <c r="E1" s="466"/>
      <c r="F1" s="466"/>
    </row>
    <row r="2" spans="1:9" ht="15.6" customHeight="1" x14ac:dyDescent="0.2">
      <c r="A2" s="467" t="s">
        <v>298</v>
      </c>
      <c r="B2" s="467"/>
      <c r="C2" s="467"/>
      <c r="D2" s="467"/>
      <c r="E2" s="467"/>
      <c r="F2" s="467"/>
    </row>
    <row r="3" spans="1:9" ht="15.6" customHeight="1" x14ac:dyDescent="0.2">
      <c r="A3" s="519" t="s">
        <v>299</v>
      </c>
      <c r="B3" s="519"/>
      <c r="C3" s="519"/>
      <c r="D3" s="519"/>
      <c r="E3" s="519"/>
      <c r="F3" s="519"/>
    </row>
    <row r="4" spans="1:9" ht="16.5" customHeight="1" thickBot="1" x14ac:dyDescent="0.25">
      <c r="A4" s="468"/>
      <c r="B4" s="468"/>
      <c r="C4" s="468"/>
      <c r="D4" s="468"/>
      <c r="E4" s="468"/>
      <c r="F4" s="468"/>
    </row>
    <row r="5" spans="1:9" x14ac:dyDescent="0.2">
      <c r="A5" s="469" t="s">
        <v>555</v>
      </c>
      <c r="B5" s="470"/>
      <c r="C5" s="470"/>
      <c r="D5" s="470"/>
      <c r="E5" s="470"/>
      <c r="F5" s="471"/>
    </row>
    <row r="6" spans="1:9" ht="21.75" customHeight="1" x14ac:dyDescent="0.2">
      <c r="A6" s="472" t="s">
        <v>44</v>
      </c>
      <c r="B6" s="473"/>
      <c r="C6" s="473"/>
      <c r="D6" s="473"/>
      <c r="E6" s="473"/>
      <c r="F6" s="474"/>
    </row>
    <row r="7" spans="1:9" ht="10.9" customHeight="1" thickBot="1" x14ac:dyDescent="0.25">
      <c r="A7" s="131"/>
      <c r="B7" s="108"/>
      <c r="C7" s="108"/>
      <c r="D7" s="132"/>
      <c r="E7" s="132"/>
      <c r="F7" s="133"/>
    </row>
    <row r="8" spans="1:9" ht="15.75" customHeight="1" thickBot="1" x14ac:dyDescent="0.25">
      <c r="A8" s="463" t="s">
        <v>196</v>
      </c>
      <c r="B8" s="464"/>
      <c r="C8" s="464"/>
      <c r="D8" s="464"/>
      <c r="E8" s="464"/>
      <c r="F8" s="465"/>
    </row>
    <row r="9" spans="1:9" ht="15.75" customHeight="1" x14ac:dyDescent="0.2">
      <c r="A9" s="134" t="s">
        <v>195</v>
      </c>
      <c r="B9" s="135"/>
      <c r="C9" s="135"/>
      <c r="D9" s="136"/>
      <c r="E9" s="137" t="s">
        <v>39</v>
      </c>
      <c r="F9" s="138" t="s">
        <v>2</v>
      </c>
    </row>
    <row r="10" spans="1:9" s="107" customFormat="1" ht="15.75" customHeight="1" x14ac:dyDescent="0.2">
      <c r="A10" s="139" t="str">
        <f>A43</f>
        <v>1. Mão-de-obra</v>
      </c>
      <c r="B10" s="140"/>
      <c r="C10" s="141"/>
      <c r="D10" s="141"/>
      <c r="E10" s="142">
        <f>SUM(E11:E15)</f>
        <v>7373.3470491905764</v>
      </c>
      <c r="F10" s="143">
        <f t="shared" ref="F10:F27" si="0">IFERROR(E10/$E$28,0)</f>
        <v>0.30618505695025727</v>
      </c>
      <c r="G10" s="129"/>
    </row>
    <row r="11" spans="1:9" ht="15.75" customHeight="1" x14ac:dyDescent="0.2">
      <c r="A11" s="144" t="str">
        <f>A45</f>
        <v>1.1. Coletor Turno Dia</v>
      </c>
      <c r="B11" s="145"/>
      <c r="C11" s="146"/>
      <c r="D11" s="146"/>
      <c r="E11" s="147">
        <f>F55</f>
        <v>4511.2689914745597</v>
      </c>
      <c r="F11" s="148">
        <f t="shared" si="0"/>
        <v>0.18733461803133231</v>
      </c>
      <c r="I11" s="246"/>
    </row>
    <row r="12" spans="1:9" ht="15.75" customHeight="1" x14ac:dyDescent="0.2">
      <c r="A12" s="144" t="str">
        <f>A58</f>
        <v>1.3. Motorista Turno do Dia</v>
      </c>
      <c r="B12" s="145"/>
      <c r="C12" s="146"/>
      <c r="D12" s="146"/>
      <c r="E12" s="147">
        <f>F70</f>
        <v>2190.5931605939995</v>
      </c>
      <c r="F12" s="148">
        <f t="shared" si="0"/>
        <v>9.0966407407196193E-2</v>
      </c>
    </row>
    <row r="13" spans="1:9" ht="15.75" customHeight="1" x14ac:dyDescent="0.2">
      <c r="A13" s="144" t="str">
        <f>A72</f>
        <v>1.7. Vale Transporte</v>
      </c>
      <c r="B13" s="145"/>
      <c r="C13" s="146"/>
      <c r="D13" s="146"/>
      <c r="E13" s="147">
        <f>F78</f>
        <v>19.870354596552545</v>
      </c>
      <c r="F13" s="148">
        <f t="shared" si="0"/>
        <v>8.2513485574168535E-4</v>
      </c>
    </row>
    <row r="14" spans="1:9" ht="15.75" customHeight="1" x14ac:dyDescent="0.2">
      <c r="A14" s="144" t="str">
        <f>A80</f>
        <v>1.8. Vale-refeição (diário)</v>
      </c>
      <c r="B14" s="145"/>
      <c r="C14" s="146"/>
      <c r="D14" s="146"/>
      <c r="E14" s="147">
        <f>F84</f>
        <v>589.91999999999996</v>
      </c>
      <c r="F14" s="148">
        <f t="shared" si="0"/>
        <v>2.4496973706930585E-2</v>
      </c>
    </row>
    <row r="15" spans="1:9" ht="15.75" customHeight="1" x14ac:dyDescent="0.2">
      <c r="A15" s="144" t="str">
        <f>A86</f>
        <v>1.9. Auxílio Alimentação (mensal)</v>
      </c>
      <c r="B15" s="145"/>
      <c r="C15" s="146"/>
      <c r="D15" s="146"/>
      <c r="E15" s="147">
        <f>F90</f>
        <v>61.694542525464314</v>
      </c>
      <c r="F15" s="148">
        <f t="shared" si="0"/>
        <v>2.5619229490564995E-3</v>
      </c>
    </row>
    <row r="16" spans="1:9" s="107" customFormat="1" ht="15.75" customHeight="1" x14ac:dyDescent="0.2">
      <c r="A16" s="512" t="str">
        <f>A94</f>
        <v>2. Uniformes e Equipamentos de Proteção Individual</v>
      </c>
      <c r="B16" s="513"/>
      <c r="C16" s="513"/>
      <c r="D16" s="141"/>
      <c r="E16" s="142">
        <f>+F126</f>
        <v>378.07582500000001</v>
      </c>
      <c r="F16" s="143">
        <f t="shared" si="0"/>
        <v>1.5699948373086334E-2</v>
      </c>
      <c r="G16" s="129"/>
    </row>
    <row r="17" spans="1:7" s="107" customFormat="1" ht="15.75" customHeight="1" x14ac:dyDescent="0.2">
      <c r="A17" s="149" t="str">
        <f>A128</f>
        <v>3. Veículos e Equipamentos</v>
      </c>
      <c r="B17" s="150"/>
      <c r="C17" s="141"/>
      <c r="D17" s="141"/>
      <c r="E17" s="142">
        <f>+F205</f>
        <v>11910.099298210749</v>
      </c>
      <c r="F17" s="143">
        <f t="shared" si="0"/>
        <v>0.49457789082452053</v>
      </c>
      <c r="G17" s="129"/>
    </row>
    <row r="18" spans="1:7" ht="15.75" customHeight="1" x14ac:dyDescent="0.2">
      <c r="A18" s="151" t="str">
        <f>A130</f>
        <v>3.4. Veículo Coletor Compactador 15 m³ (mínimo)</v>
      </c>
      <c r="B18" s="152"/>
      <c r="C18" s="146"/>
      <c r="D18" s="146"/>
      <c r="E18" s="147">
        <f>SUM(E19:E24)</f>
        <v>11910.099298210749</v>
      </c>
      <c r="F18" s="148">
        <f t="shared" si="0"/>
        <v>0.49457789082452053</v>
      </c>
    </row>
    <row r="19" spans="1:7" ht="15.75" customHeight="1" x14ac:dyDescent="0.2">
      <c r="A19" s="151" t="str">
        <f>A132</f>
        <v>3.4.1. Depreciação</v>
      </c>
      <c r="B19" s="152"/>
      <c r="C19" s="146"/>
      <c r="D19" s="146"/>
      <c r="E19" s="147">
        <f>F146</f>
        <v>2865.7939285749621</v>
      </c>
      <c r="F19" s="148">
        <f t="shared" si="0"/>
        <v>0.11900474389371805</v>
      </c>
    </row>
    <row r="20" spans="1:7" ht="15.75" customHeight="1" x14ac:dyDescent="0.2">
      <c r="A20" s="151" t="str">
        <f>A148</f>
        <v>3.4.2. Remuneração do Capital</v>
      </c>
      <c r="B20" s="152"/>
      <c r="C20" s="146"/>
      <c r="D20" s="146"/>
      <c r="E20" s="147">
        <f>F162</f>
        <v>2034.342807986867</v>
      </c>
      <c r="F20" s="148">
        <f t="shared" si="0"/>
        <v>8.447796697541636E-2</v>
      </c>
    </row>
    <row r="21" spans="1:7" ht="15.75" customHeight="1" x14ac:dyDescent="0.2">
      <c r="A21" s="151" t="str">
        <f>A164</f>
        <v>3.2.3. Impostos e Seguros</v>
      </c>
      <c r="B21" s="152"/>
      <c r="C21" s="146"/>
      <c r="D21" s="146"/>
      <c r="E21" s="147">
        <f>F170</f>
        <v>202.29921734557169</v>
      </c>
      <c r="F21" s="148">
        <f t="shared" si="0"/>
        <v>8.4006621376578276E-3</v>
      </c>
    </row>
    <row r="22" spans="1:7" ht="15.75" customHeight="1" x14ac:dyDescent="0.2">
      <c r="A22" s="151" t="str">
        <f>A172</f>
        <v>3.4.4. Consumos</v>
      </c>
      <c r="B22" s="152"/>
      <c r="C22" s="146"/>
      <c r="D22" s="146"/>
      <c r="E22" s="147">
        <f>F188</f>
        <v>5364.2526486299284</v>
      </c>
      <c r="F22" s="148">
        <f t="shared" si="0"/>
        <v>0.22275555344931536</v>
      </c>
    </row>
    <row r="23" spans="1:7" ht="15.75" customHeight="1" x14ac:dyDescent="0.2">
      <c r="A23" s="151" t="str">
        <f>A190</f>
        <v>3.4.5. Manutenção</v>
      </c>
      <c r="B23" s="152"/>
      <c r="C23" s="146"/>
      <c r="D23" s="146"/>
      <c r="E23" s="147">
        <f>F193</f>
        <v>1031.7080000000001</v>
      </c>
      <c r="F23" s="148">
        <f t="shared" si="0"/>
        <v>4.2842629083994346E-2</v>
      </c>
    </row>
    <row r="24" spans="1:7" ht="15.75" customHeight="1" x14ac:dyDescent="0.2">
      <c r="A24" s="151" t="str">
        <f>A195</f>
        <v>3.4.6. Pneus</v>
      </c>
      <c r="B24" s="152"/>
      <c r="C24" s="146"/>
      <c r="D24" s="146"/>
      <c r="E24" s="147">
        <f>F202</f>
        <v>411.70269567342024</v>
      </c>
      <c r="F24" s="148">
        <f t="shared" si="0"/>
        <v>1.70963352844186E-2</v>
      </c>
    </row>
    <row r="25" spans="1:7" s="107" customFormat="1" ht="15.75" customHeight="1" x14ac:dyDescent="0.2">
      <c r="A25" s="149" t="str">
        <f>A207</f>
        <v>4. Ferramentas e Materiais de Consumo</v>
      </c>
      <c r="B25" s="150"/>
      <c r="C25" s="141"/>
      <c r="D25" s="141"/>
      <c r="E25" s="142">
        <f>+F217</f>
        <v>40.026221777482895</v>
      </c>
      <c r="F25" s="143">
        <f t="shared" si="0"/>
        <v>1.6621258856637695E-3</v>
      </c>
      <c r="G25" s="129"/>
    </row>
    <row r="26" spans="1:7" s="107" customFormat="1" ht="15.75" customHeight="1" x14ac:dyDescent="0.2">
      <c r="A26" s="149" t="str">
        <f>A219</f>
        <v>5. Monitoramento da Frota</v>
      </c>
      <c r="B26" s="150"/>
      <c r="C26" s="141"/>
      <c r="D26" s="141"/>
      <c r="E26" s="142">
        <f>+F228</f>
        <v>66.42232200580257</v>
      </c>
      <c r="F26" s="143">
        <f t="shared" si="0"/>
        <v>2.7582483654214509E-3</v>
      </c>
      <c r="G26" s="129"/>
    </row>
    <row r="27" spans="1:7" s="107" customFormat="1" ht="15.75" customHeight="1" thickBot="1" x14ac:dyDescent="0.25">
      <c r="A27" s="149" t="str">
        <f>A232</f>
        <v>6. Benefícios e Despesas Indiretas - BDI</v>
      </c>
      <c r="B27" s="150"/>
      <c r="C27" s="141"/>
      <c r="D27" s="141"/>
      <c r="E27" s="153">
        <f>+F238</f>
        <v>4313.3712102714817</v>
      </c>
      <c r="F27" s="143">
        <f t="shared" si="0"/>
        <v>0.17911672960105074</v>
      </c>
      <c r="G27" s="129"/>
    </row>
    <row r="28" spans="1:7" ht="15.75" customHeight="1" thickBot="1" x14ac:dyDescent="0.25">
      <c r="A28" s="154" t="s">
        <v>231</v>
      </c>
      <c r="B28" s="155"/>
      <c r="C28" s="156"/>
      <c r="D28" s="156"/>
      <c r="E28" s="157">
        <f>E10+E16+E17+E25+E26+E27</f>
        <v>24081.341926456091</v>
      </c>
      <c r="F28" s="158">
        <f>F10+F16+F17+F25+F26+F27</f>
        <v>1</v>
      </c>
    </row>
    <row r="30" spans="1:7" ht="16.5" thickBot="1" x14ac:dyDescent="0.25"/>
    <row r="31" spans="1:7" ht="15" customHeight="1" x14ac:dyDescent="0.2">
      <c r="A31" s="514" t="s">
        <v>95</v>
      </c>
      <c r="B31" s="515"/>
      <c r="C31" s="515"/>
      <c r="D31" s="515"/>
      <c r="E31" s="516"/>
    </row>
    <row r="32" spans="1:7" ht="15" customHeight="1" x14ac:dyDescent="0.2">
      <c r="A32" s="517" t="s">
        <v>40</v>
      </c>
      <c r="B32" s="518"/>
      <c r="C32" s="518"/>
      <c r="D32" s="518"/>
      <c r="E32" s="302" t="s">
        <v>41</v>
      </c>
    </row>
    <row r="33" spans="1:12" ht="15" customHeight="1" x14ac:dyDescent="0.2">
      <c r="A33" s="293" t="str">
        <f>+A45</f>
        <v>1.1. Coletor Turno Dia</v>
      </c>
      <c r="B33" s="177"/>
      <c r="C33" s="177"/>
      <c r="D33" s="32"/>
      <c r="E33" s="159">
        <f>C54</f>
        <v>2</v>
      </c>
    </row>
    <row r="34" spans="1:12" ht="15" customHeight="1" x14ac:dyDescent="0.2">
      <c r="A34" s="293" t="str">
        <f>+A58</f>
        <v>1.3. Motorista Turno do Dia</v>
      </c>
      <c r="B34" s="177"/>
      <c r="C34" s="177"/>
      <c r="D34" s="32"/>
      <c r="E34" s="159">
        <f>C69</f>
        <v>1</v>
      </c>
    </row>
    <row r="35" spans="1:12" ht="15" customHeight="1" x14ac:dyDescent="0.2">
      <c r="A35" s="294" t="s">
        <v>60</v>
      </c>
      <c r="B35" s="292"/>
      <c r="C35" s="292"/>
      <c r="D35" s="32"/>
      <c r="E35" s="295">
        <f>SUM(E33:E34)</f>
        <v>3</v>
      </c>
    </row>
    <row r="36" spans="1:12" ht="15" customHeight="1" x14ac:dyDescent="0.2">
      <c r="A36" s="294"/>
      <c r="B36" s="292"/>
      <c r="C36" s="177"/>
      <c r="D36" s="177"/>
      <c r="E36" s="296"/>
    </row>
    <row r="37" spans="1:12" ht="15" customHeight="1" x14ac:dyDescent="0.2">
      <c r="A37" s="521" t="s">
        <v>57</v>
      </c>
      <c r="B37" s="522"/>
      <c r="C37" s="522"/>
      <c r="D37" s="522"/>
      <c r="E37" s="302" t="s">
        <v>41</v>
      </c>
      <c r="F37" s="98"/>
    </row>
    <row r="38" spans="1:12" ht="15" customHeight="1" thickBot="1" x14ac:dyDescent="0.25">
      <c r="A38" s="297" t="str">
        <f>+A130</f>
        <v>3.4. Veículo Coletor Compactador 15 m³ (mínimo)</v>
      </c>
      <c r="B38" s="298"/>
      <c r="C38" s="298"/>
      <c r="D38" s="111"/>
      <c r="E38" s="161">
        <f>C145</f>
        <v>1</v>
      </c>
      <c r="F38" s="98"/>
    </row>
    <row r="39" spans="1:12" ht="15" customHeight="1" x14ac:dyDescent="0.2">
      <c r="A39" s="160"/>
      <c r="B39" s="160"/>
      <c r="C39" s="160"/>
      <c r="D39" s="98"/>
      <c r="E39" s="162"/>
      <c r="F39" s="98"/>
    </row>
    <row r="40" spans="1:12" ht="16.5" thickBot="1" x14ac:dyDescent="0.25">
      <c r="A40" s="160"/>
      <c r="B40" s="160"/>
      <c r="C40" s="160"/>
      <c r="D40" s="98"/>
      <c r="E40" s="163"/>
      <c r="F40" s="98"/>
      <c r="H40" s="307"/>
    </row>
    <row r="41" spans="1:12" s="107" customFormat="1" ht="15.75" customHeight="1" thickBot="1" x14ac:dyDescent="0.25">
      <c r="A41" s="164" t="s">
        <v>297</v>
      </c>
      <c r="B41" s="346">
        <v>0.5454</v>
      </c>
      <c r="C41" s="128"/>
      <c r="E41" s="165"/>
      <c r="G41" s="129"/>
    </row>
    <row r="42" spans="1:12" ht="15.75" customHeight="1" x14ac:dyDescent="0.2">
      <c r="A42" s="520"/>
      <c r="B42" s="520"/>
      <c r="C42" s="520"/>
      <c r="D42" s="520"/>
      <c r="E42" s="520"/>
      <c r="F42" s="520"/>
    </row>
    <row r="43" spans="1:12" ht="13.15" customHeight="1" x14ac:dyDescent="0.2">
      <c r="A43" s="505" t="s">
        <v>48</v>
      </c>
      <c r="B43" s="505"/>
      <c r="C43" s="505"/>
      <c r="D43" s="505"/>
      <c r="E43" s="505"/>
      <c r="F43" s="505"/>
    </row>
    <row r="44" spans="1:12" ht="11.25" customHeight="1" x14ac:dyDescent="0.2">
      <c r="A44" s="467"/>
      <c r="B44" s="467"/>
      <c r="C44" s="467"/>
      <c r="D44" s="467"/>
      <c r="E44" s="467"/>
      <c r="F44" s="467"/>
    </row>
    <row r="45" spans="1:12" s="130" customFormat="1" ht="13.9" customHeight="1" thickBot="1" x14ac:dyDescent="0.25">
      <c r="A45" s="495" t="s">
        <v>98</v>
      </c>
      <c r="B45" s="495"/>
      <c r="C45" s="495"/>
      <c r="D45" s="495"/>
      <c r="E45" s="495"/>
      <c r="F45" s="495"/>
      <c r="H45" s="98"/>
      <c r="I45" s="98"/>
      <c r="J45" s="98"/>
    </row>
    <row r="46" spans="1:12" s="130" customFormat="1" ht="13.9" customHeight="1" thickBot="1" x14ac:dyDescent="0.25">
      <c r="A46" s="166" t="s">
        <v>65</v>
      </c>
      <c r="B46" s="167" t="s">
        <v>66</v>
      </c>
      <c r="C46" s="167" t="s">
        <v>41</v>
      </c>
      <c r="D46" s="168" t="s">
        <v>227</v>
      </c>
      <c r="E46" s="168" t="s">
        <v>67</v>
      </c>
      <c r="F46" s="169" t="s">
        <v>300</v>
      </c>
      <c r="H46" s="98"/>
      <c r="I46" s="98"/>
      <c r="J46" s="98"/>
    </row>
    <row r="47" spans="1:12" s="130" customFormat="1" ht="13.15" customHeight="1" x14ac:dyDescent="0.2">
      <c r="A47" s="251" t="s">
        <v>206</v>
      </c>
      <c r="B47" s="37" t="s">
        <v>7</v>
      </c>
      <c r="C47" s="37">
        <v>1</v>
      </c>
      <c r="D47" s="170">
        <v>1687.48</v>
      </c>
      <c r="E47" s="171">
        <f>C47*D47</f>
        <v>1687.48</v>
      </c>
      <c r="F47" s="252"/>
      <c r="H47" s="377"/>
      <c r="I47" s="362"/>
      <c r="J47" s="363"/>
      <c r="K47" s="363"/>
      <c r="L47" s="381"/>
    </row>
    <row r="48" spans="1:12" s="130" customFormat="1" x14ac:dyDescent="0.2">
      <c r="A48" s="31" t="s">
        <v>35</v>
      </c>
      <c r="B48" s="25" t="s">
        <v>0</v>
      </c>
      <c r="C48" s="172">
        <v>0</v>
      </c>
      <c r="D48" s="173">
        <f>D47/220*2</f>
        <v>15.340727272727273</v>
      </c>
      <c r="E48" s="173">
        <f>C48*D48</f>
        <v>0</v>
      </c>
      <c r="F48" s="252"/>
      <c r="H48" s="98"/>
      <c r="I48" s="98"/>
      <c r="J48" s="98"/>
      <c r="K48" s="368"/>
      <c r="L48" s="381"/>
    </row>
    <row r="49" spans="1:12" s="130" customFormat="1" ht="13.15" customHeight="1" x14ac:dyDescent="0.2">
      <c r="A49" s="31" t="s">
        <v>212</v>
      </c>
      <c r="B49" s="25" t="s">
        <v>34</v>
      </c>
      <c r="C49" s="98"/>
      <c r="D49" s="173">
        <f>63/302*(SUM(E48:E48))</f>
        <v>0</v>
      </c>
      <c r="E49" s="173">
        <f>D49</f>
        <v>0</v>
      </c>
      <c r="F49" s="252"/>
      <c r="H49" s="98"/>
      <c r="I49" s="98"/>
      <c r="J49" s="98"/>
      <c r="K49" s="368"/>
      <c r="L49" s="381"/>
    </row>
    <row r="50" spans="1:12" s="130" customFormat="1" x14ac:dyDescent="0.2">
      <c r="A50" s="31" t="s">
        <v>1</v>
      </c>
      <c r="B50" s="25" t="s">
        <v>2</v>
      </c>
      <c r="C50" s="25">
        <v>40</v>
      </c>
      <c r="D50" s="174">
        <f>SUM(E47:E49)</f>
        <v>1687.48</v>
      </c>
      <c r="E50" s="173">
        <f>C50*D50/100</f>
        <v>674.99199999999996</v>
      </c>
      <c r="F50" s="252"/>
      <c r="H50" s="98"/>
      <c r="I50" s="98"/>
      <c r="J50" s="98"/>
      <c r="K50" s="368"/>
      <c r="L50" s="381"/>
    </row>
    <row r="51" spans="1:12" s="130" customFormat="1" x14ac:dyDescent="0.2">
      <c r="A51" s="523" t="s">
        <v>302</v>
      </c>
      <c r="B51" s="524"/>
      <c r="C51" s="524"/>
      <c r="D51" s="525"/>
      <c r="E51" s="175">
        <f>SUM(E47:E50)</f>
        <v>2362.4719999999998</v>
      </c>
      <c r="F51" s="252"/>
      <c r="H51" s="98"/>
      <c r="I51" s="98"/>
      <c r="J51" s="98"/>
      <c r="K51" s="368"/>
      <c r="L51" s="381"/>
    </row>
    <row r="52" spans="1:12" s="130" customFormat="1" x14ac:dyDescent="0.2">
      <c r="A52" s="31" t="s">
        <v>3</v>
      </c>
      <c r="B52" s="25" t="s">
        <v>2</v>
      </c>
      <c r="C52" s="176">
        <f>'2.Encargos Sociais'!$C$34*100</f>
        <v>75.06</v>
      </c>
      <c r="D52" s="173">
        <f>E51</f>
        <v>2362.4719999999998</v>
      </c>
      <c r="E52" s="173">
        <f>D52*C52/100</f>
        <v>1773.2714831999997</v>
      </c>
      <c r="F52" s="252"/>
      <c r="H52" s="98"/>
      <c r="I52" s="98"/>
      <c r="J52" s="98"/>
      <c r="K52" s="368"/>
      <c r="L52" s="381"/>
    </row>
    <row r="53" spans="1:12" s="130" customFormat="1" x14ac:dyDescent="0.2">
      <c r="A53" s="523" t="s">
        <v>303</v>
      </c>
      <c r="B53" s="530"/>
      <c r="C53" s="530"/>
      <c r="D53" s="531"/>
      <c r="E53" s="175">
        <f>E51+E52</f>
        <v>4135.7434831999999</v>
      </c>
      <c r="F53" s="252"/>
      <c r="H53" s="98"/>
      <c r="I53" s="98"/>
      <c r="J53" s="98"/>
      <c r="K53" s="368"/>
      <c r="L53" s="381"/>
    </row>
    <row r="54" spans="1:12" s="130" customFormat="1" x14ac:dyDescent="0.2">
      <c r="A54" s="253" t="s">
        <v>4</v>
      </c>
      <c r="B54" s="254" t="s">
        <v>5</v>
      </c>
      <c r="C54" s="255">
        <v>2</v>
      </c>
      <c r="D54" s="173">
        <f>E53</f>
        <v>4135.7434831999999</v>
      </c>
      <c r="E54" s="173">
        <f>C54*D54</f>
        <v>8271.4869663999998</v>
      </c>
      <c r="F54" s="252"/>
      <c r="H54" s="98"/>
      <c r="I54" s="98"/>
      <c r="J54" s="98"/>
      <c r="K54" s="368"/>
      <c r="L54" s="381"/>
    </row>
    <row r="55" spans="1:12" s="130" customFormat="1" ht="13.9" customHeight="1" thickBot="1" x14ac:dyDescent="0.25">
      <c r="A55" s="499" t="s">
        <v>300</v>
      </c>
      <c r="B55" s="500"/>
      <c r="C55" s="501"/>
      <c r="D55" s="256" t="s">
        <v>301</v>
      </c>
      <c r="E55" s="349">
        <f>$B$41</f>
        <v>0.5454</v>
      </c>
      <c r="F55" s="211">
        <f>E54*E55</f>
        <v>4511.2689914745597</v>
      </c>
      <c r="H55" s="98"/>
      <c r="I55" s="98"/>
      <c r="J55" s="98"/>
      <c r="K55" s="368"/>
      <c r="L55" s="381"/>
    </row>
    <row r="56" spans="1:12" s="130" customFormat="1" ht="11.25" customHeight="1" x14ac:dyDescent="0.2">
      <c r="A56" s="467"/>
      <c r="B56" s="467"/>
      <c r="C56" s="467"/>
      <c r="D56" s="467"/>
      <c r="E56" s="467"/>
      <c r="F56" s="467"/>
      <c r="H56" s="98"/>
      <c r="I56" s="98"/>
      <c r="J56" s="98"/>
      <c r="K56" s="368"/>
      <c r="L56" s="381"/>
    </row>
    <row r="57" spans="1:12" s="130" customFormat="1" ht="11.25" customHeight="1" x14ac:dyDescent="0.2">
      <c r="A57" s="467"/>
      <c r="B57" s="467"/>
      <c r="C57" s="467"/>
      <c r="D57" s="467"/>
      <c r="E57" s="467"/>
      <c r="F57" s="467"/>
      <c r="H57" s="98"/>
      <c r="I57" s="98"/>
      <c r="J57" s="98"/>
      <c r="K57" s="368"/>
      <c r="L57" s="381"/>
    </row>
    <row r="58" spans="1:12" s="130" customFormat="1" ht="16.5" thickBot="1" x14ac:dyDescent="0.25">
      <c r="A58" s="495" t="s">
        <v>99</v>
      </c>
      <c r="B58" s="495"/>
      <c r="C58" s="495"/>
      <c r="D58" s="495"/>
      <c r="E58" s="495"/>
      <c r="F58" s="495"/>
      <c r="H58" s="98"/>
      <c r="I58" s="98"/>
      <c r="J58" s="98"/>
      <c r="K58" s="368"/>
      <c r="L58" s="381"/>
    </row>
    <row r="59" spans="1:12" ht="13.15" customHeight="1" thickBot="1" x14ac:dyDescent="0.25">
      <c r="A59" s="166" t="s">
        <v>65</v>
      </c>
      <c r="B59" s="167" t="s">
        <v>66</v>
      </c>
      <c r="C59" s="167" t="s">
        <v>41</v>
      </c>
      <c r="D59" s="168" t="s">
        <v>227</v>
      </c>
      <c r="E59" s="168" t="s">
        <v>67</v>
      </c>
      <c r="F59" s="169" t="s">
        <v>300</v>
      </c>
      <c r="L59" s="381"/>
    </row>
    <row r="60" spans="1:12" x14ac:dyDescent="0.2">
      <c r="A60" s="251" t="s">
        <v>209</v>
      </c>
      <c r="B60" s="37" t="s">
        <v>7</v>
      </c>
      <c r="C60" s="37">
        <v>1</v>
      </c>
      <c r="D60" s="170">
        <v>2030.35</v>
      </c>
      <c r="E60" s="171">
        <f>C60*D60</f>
        <v>2030.35</v>
      </c>
      <c r="F60" s="252"/>
      <c r="H60" s="377"/>
      <c r="I60" s="362"/>
      <c r="J60" s="363"/>
      <c r="K60" s="363"/>
      <c r="L60" s="381"/>
    </row>
    <row r="61" spans="1:12" x14ac:dyDescent="0.2">
      <c r="A61" s="251" t="s">
        <v>210</v>
      </c>
      <c r="B61" s="37" t="s">
        <v>7</v>
      </c>
      <c r="C61" s="37">
        <v>1</v>
      </c>
      <c r="D61" s="370">
        <v>1320</v>
      </c>
      <c r="E61" s="171"/>
      <c r="F61" s="252"/>
      <c r="H61" s="377"/>
      <c r="I61" s="362"/>
      <c r="J61" s="363"/>
      <c r="K61" s="363"/>
      <c r="L61" s="381"/>
    </row>
    <row r="62" spans="1:12" x14ac:dyDescent="0.2">
      <c r="A62" s="31" t="s">
        <v>35</v>
      </c>
      <c r="B62" s="25" t="s">
        <v>0</v>
      </c>
      <c r="C62" s="172">
        <v>0</v>
      </c>
      <c r="D62" s="173">
        <f>D60/220*2</f>
        <v>18.457727272727272</v>
      </c>
      <c r="E62" s="173">
        <f>C62*D62</f>
        <v>0</v>
      </c>
      <c r="F62" s="252"/>
      <c r="H62" s="377"/>
      <c r="I62" s="362"/>
      <c r="J62" s="363"/>
      <c r="K62" s="363"/>
      <c r="L62" s="381"/>
    </row>
    <row r="63" spans="1:12" x14ac:dyDescent="0.2">
      <c r="A63" s="31" t="s">
        <v>212</v>
      </c>
      <c r="B63" s="25" t="s">
        <v>34</v>
      </c>
      <c r="D63" s="173">
        <f>63/302*(SUM(E62:E62))</f>
        <v>0</v>
      </c>
      <c r="E63" s="173">
        <f>D63</f>
        <v>0</v>
      </c>
      <c r="F63" s="252"/>
      <c r="H63" s="377"/>
      <c r="I63" s="362"/>
      <c r="J63" s="363"/>
      <c r="K63" s="363"/>
      <c r="L63" s="381"/>
    </row>
    <row r="64" spans="1:12" x14ac:dyDescent="0.2">
      <c r="A64" s="31" t="s">
        <v>208</v>
      </c>
      <c r="B64" s="25"/>
      <c r="C64" s="180">
        <v>1</v>
      </c>
      <c r="D64" s="173"/>
      <c r="E64" s="173"/>
      <c r="F64" s="252"/>
      <c r="L64" s="381"/>
    </row>
    <row r="65" spans="1:12" x14ac:dyDescent="0.2">
      <c r="A65" s="31" t="s">
        <v>1</v>
      </c>
      <c r="B65" s="25" t="s">
        <v>2</v>
      </c>
      <c r="C65" s="454">
        <v>20</v>
      </c>
      <c r="D65" s="174">
        <f>IF(C64=2,SUM(E60:E61),IF(C64=1,(SUM(E60:E61))*D61/D60,0))</f>
        <v>1320</v>
      </c>
      <c r="E65" s="173">
        <f>C65*D65/100</f>
        <v>264</v>
      </c>
      <c r="F65" s="252"/>
      <c r="L65" s="381"/>
    </row>
    <row r="66" spans="1:12" s="107" customFormat="1" x14ac:dyDescent="0.2">
      <c r="A66" s="523" t="s">
        <v>302</v>
      </c>
      <c r="B66" s="524"/>
      <c r="C66" s="524"/>
      <c r="D66" s="525"/>
      <c r="E66" s="181">
        <f>SUM(E60:E65)</f>
        <v>2294.35</v>
      </c>
      <c r="F66" s="258"/>
      <c r="G66" s="129"/>
      <c r="L66" s="382"/>
    </row>
    <row r="67" spans="1:12" x14ac:dyDescent="0.2">
      <c r="A67" s="31" t="s">
        <v>3</v>
      </c>
      <c r="B67" s="25" t="s">
        <v>2</v>
      </c>
      <c r="C67" s="176">
        <f>'2.Encargos Sociais'!$C$34*100</f>
        <v>75.06</v>
      </c>
      <c r="D67" s="173">
        <f>E66</f>
        <v>2294.35</v>
      </c>
      <c r="E67" s="173">
        <f>D67*C67/100</f>
        <v>1722.1391099999998</v>
      </c>
      <c r="F67" s="252"/>
      <c r="L67" s="381"/>
    </row>
    <row r="68" spans="1:12" s="107" customFormat="1" x14ac:dyDescent="0.2">
      <c r="A68" s="523" t="s">
        <v>305</v>
      </c>
      <c r="B68" s="524"/>
      <c r="C68" s="524"/>
      <c r="D68" s="525"/>
      <c r="E68" s="181">
        <f>E66+E67</f>
        <v>4016.4891099999995</v>
      </c>
      <c r="F68" s="258"/>
      <c r="G68" s="129"/>
      <c r="L68" s="382"/>
    </row>
    <row r="69" spans="1:12" x14ac:dyDescent="0.2">
      <c r="A69" s="31" t="s">
        <v>4</v>
      </c>
      <c r="B69" s="25" t="s">
        <v>5</v>
      </c>
      <c r="C69" s="30">
        <v>1</v>
      </c>
      <c r="D69" s="173">
        <f>E68</f>
        <v>4016.4891099999995</v>
      </c>
      <c r="E69" s="173">
        <f>C69*D69</f>
        <v>4016.4891099999995</v>
      </c>
      <c r="F69" s="252"/>
      <c r="L69" s="381"/>
    </row>
    <row r="70" spans="1:12" ht="16.5" thickBot="1" x14ac:dyDescent="0.25">
      <c r="A70" s="499" t="s">
        <v>300</v>
      </c>
      <c r="B70" s="500"/>
      <c r="C70" s="501"/>
      <c r="D70" s="257" t="s">
        <v>301</v>
      </c>
      <c r="E70" s="349">
        <f>$B$41</f>
        <v>0.5454</v>
      </c>
      <c r="F70" s="211">
        <f>E69*E70</f>
        <v>2190.5931605939995</v>
      </c>
      <c r="L70" s="381"/>
    </row>
    <row r="71" spans="1:12" ht="11.25" customHeight="1" x14ac:dyDescent="0.2">
      <c r="A71" s="467"/>
      <c r="B71" s="467"/>
      <c r="C71" s="467"/>
      <c r="D71" s="467"/>
      <c r="E71" s="467"/>
      <c r="F71" s="467"/>
      <c r="L71" s="381"/>
    </row>
    <row r="72" spans="1:12" ht="16.5" thickBot="1" x14ac:dyDescent="0.25">
      <c r="A72" s="495" t="s">
        <v>417</v>
      </c>
      <c r="B72" s="495"/>
      <c r="C72" s="495"/>
      <c r="D72" s="495"/>
      <c r="E72" s="495"/>
      <c r="F72" s="495"/>
      <c r="G72" s="98"/>
      <c r="L72" s="381"/>
    </row>
    <row r="73" spans="1:12" ht="16.5" thickBot="1" x14ac:dyDescent="0.25">
      <c r="A73" s="166" t="s">
        <v>65</v>
      </c>
      <c r="B73" s="167" t="s">
        <v>66</v>
      </c>
      <c r="C73" s="167" t="s">
        <v>41</v>
      </c>
      <c r="D73" s="168" t="s">
        <v>227</v>
      </c>
      <c r="E73" s="168" t="s">
        <v>67</v>
      </c>
      <c r="F73" s="169" t="s">
        <v>300</v>
      </c>
      <c r="G73" s="98"/>
      <c r="L73" s="381"/>
    </row>
    <row r="74" spans="1:12" x14ac:dyDescent="0.2">
      <c r="A74" s="31" t="s">
        <v>91</v>
      </c>
      <c r="B74" s="25" t="s">
        <v>34</v>
      </c>
      <c r="C74" s="182">
        <v>1</v>
      </c>
      <c r="D74" s="372">
        <v>4.7804021471743408</v>
      </c>
      <c r="E74" s="214"/>
      <c r="F74" s="259"/>
      <c r="H74" s="377"/>
      <c r="I74" s="362"/>
      <c r="J74" s="363"/>
      <c r="K74" s="363"/>
      <c r="L74" s="381"/>
    </row>
    <row r="75" spans="1:12" x14ac:dyDescent="0.2">
      <c r="A75" s="31" t="s">
        <v>92</v>
      </c>
      <c r="B75" s="25" t="s">
        <v>93</v>
      </c>
      <c r="C75" s="263">
        <v>12</v>
      </c>
      <c r="D75" s="173"/>
      <c r="E75" s="214"/>
      <c r="F75" s="260"/>
      <c r="G75" s="98"/>
      <c r="L75" s="381"/>
    </row>
    <row r="76" spans="1:12" x14ac:dyDescent="0.2">
      <c r="A76" s="31" t="s">
        <v>74</v>
      </c>
      <c r="B76" s="25" t="s">
        <v>8</v>
      </c>
      <c r="C76" s="183">
        <f>$C$75*2*(C54)</f>
        <v>48</v>
      </c>
      <c r="D76" s="171">
        <f>IFERROR((($C$75*2*$D$74)-(E47*0.06))/($C$75*2),"-")</f>
        <v>0.56170214717434064</v>
      </c>
      <c r="E76" s="214">
        <f>IFERROR(C76*D76,"-")</f>
        <v>26.961703064368351</v>
      </c>
      <c r="F76" s="260"/>
      <c r="G76" s="98"/>
      <c r="L76" s="381"/>
    </row>
    <row r="77" spans="1:12" x14ac:dyDescent="0.2">
      <c r="A77" s="251" t="s">
        <v>45</v>
      </c>
      <c r="B77" s="37" t="s">
        <v>8</v>
      </c>
      <c r="C77" s="183">
        <f>$C$75*2*(C69)</f>
        <v>24</v>
      </c>
      <c r="D77" s="171">
        <f>IFERROR((($C$75*2*$D$74)-(E60*0.06))/($C$75*2),"-")</f>
        <v>-0.29547285282565855</v>
      </c>
      <c r="E77" s="215">
        <f>IFERROR(C77*D77,"-")</f>
        <v>-7.0913484678158056</v>
      </c>
      <c r="F77" s="260"/>
      <c r="G77" s="98"/>
      <c r="L77" s="381"/>
    </row>
    <row r="78" spans="1:12" ht="16.5" thickBot="1" x14ac:dyDescent="0.25">
      <c r="A78" s="499" t="s">
        <v>300</v>
      </c>
      <c r="B78" s="500"/>
      <c r="C78" s="500"/>
      <c r="D78" s="500"/>
      <c r="E78" s="501"/>
      <c r="F78" s="264">
        <f>SUM(E76:E77)</f>
        <v>19.870354596552545</v>
      </c>
      <c r="G78" s="98"/>
      <c r="L78" s="381"/>
    </row>
    <row r="79" spans="1:12" ht="11.25" customHeight="1" x14ac:dyDescent="0.2">
      <c r="A79" s="467"/>
      <c r="B79" s="467"/>
      <c r="C79" s="467"/>
      <c r="D79" s="467"/>
      <c r="E79" s="467"/>
      <c r="F79" s="467"/>
      <c r="G79" s="98"/>
      <c r="L79" s="381"/>
    </row>
    <row r="80" spans="1:12" ht="16.5" thickBot="1" x14ac:dyDescent="0.25">
      <c r="A80" s="495" t="s">
        <v>418</v>
      </c>
      <c r="B80" s="495"/>
      <c r="C80" s="495"/>
      <c r="D80" s="495"/>
      <c r="E80" s="495"/>
      <c r="F80" s="495"/>
      <c r="G80" s="98"/>
      <c r="L80" s="381"/>
    </row>
    <row r="81" spans="1:12" ht="16.5" thickBot="1" x14ac:dyDescent="0.25">
      <c r="A81" s="166" t="s">
        <v>65</v>
      </c>
      <c r="B81" s="167" t="s">
        <v>66</v>
      </c>
      <c r="C81" s="167" t="s">
        <v>41</v>
      </c>
      <c r="D81" s="168" t="s">
        <v>227</v>
      </c>
      <c r="E81" s="168" t="s">
        <v>67</v>
      </c>
      <c r="F81" s="169" t="s">
        <v>300</v>
      </c>
      <c r="G81" s="98"/>
      <c r="L81" s="381"/>
    </row>
    <row r="82" spans="1:12" x14ac:dyDescent="0.2">
      <c r="A82" s="31" t="str">
        <f>+A76</f>
        <v>Coletor</v>
      </c>
      <c r="B82" s="25" t="s">
        <v>9</v>
      </c>
      <c r="C82" s="184">
        <f>C75*(E33)</f>
        <v>24</v>
      </c>
      <c r="D82" s="185">
        <v>18.2</v>
      </c>
      <c r="E82" s="216">
        <f>C82*D82</f>
        <v>436.79999999999995</v>
      </c>
      <c r="F82" s="265"/>
      <c r="H82" s="377"/>
      <c r="I82" s="362"/>
      <c r="J82" s="363"/>
      <c r="K82" s="363"/>
      <c r="L82" s="381"/>
    </row>
    <row r="83" spans="1:12" x14ac:dyDescent="0.2">
      <c r="A83" s="31" t="str">
        <f>+A77</f>
        <v>Motorista</v>
      </c>
      <c r="B83" s="25" t="s">
        <v>9</v>
      </c>
      <c r="C83" s="184">
        <f>C75*(E34)</f>
        <v>12</v>
      </c>
      <c r="D83" s="457">
        <v>12.76</v>
      </c>
      <c r="E83" s="216">
        <f>C83*D83</f>
        <v>153.12</v>
      </c>
      <c r="F83" s="261"/>
      <c r="H83" s="377"/>
      <c r="I83" s="362"/>
      <c r="J83" s="363"/>
      <c r="K83" s="363"/>
      <c r="L83" s="381"/>
    </row>
    <row r="84" spans="1:12" ht="16.5" thickBot="1" x14ac:dyDescent="0.25">
      <c r="A84" s="499" t="s">
        <v>300</v>
      </c>
      <c r="B84" s="500"/>
      <c r="C84" s="500"/>
      <c r="D84" s="500"/>
      <c r="E84" s="501"/>
      <c r="F84" s="264">
        <f>SUM(E82:E83)</f>
        <v>589.91999999999996</v>
      </c>
      <c r="G84" s="98"/>
      <c r="L84" s="381"/>
    </row>
    <row r="85" spans="1:12" x14ac:dyDescent="0.2">
      <c r="A85" s="467"/>
      <c r="B85" s="467"/>
      <c r="C85" s="467"/>
      <c r="D85" s="467"/>
      <c r="E85" s="467"/>
      <c r="F85" s="467"/>
      <c r="G85" s="98"/>
      <c r="L85" s="381"/>
    </row>
    <row r="86" spans="1:12" ht="16.5" thickBot="1" x14ac:dyDescent="0.25">
      <c r="A86" s="495" t="s">
        <v>419</v>
      </c>
      <c r="B86" s="495"/>
      <c r="C86" s="495"/>
      <c r="D86" s="495"/>
      <c r="E86" s="495"/>
      <c r="F86" s="495"/>
      <c r="G86" s="98"/>
      <c r="L86" s="381"/>
    </row>
    <row r="87" spans="1:12" ht="16.5" thickBot="1" x14ac:dyDescent="0.25">
      <c r="A87" s="166" t="s">
        <v>65</v>
      </c>
      <c r="B87" s="167" t="s">
        <v>66</v>
      </c>
      <c r="C87" s="167" t="s">
        <v>41</v>
      </c>
      <c r="D87" s="168" t="s">
        <v>227</v>
      </c>
      <c r="E87" s="168" t="s">
        <v>67</v>
      </c>
      <c r="F87" s="169" t="s">
        <v>300</v>
      </c>
      <c r="G87" s="98"/>
      <c r="L87" s="381"/>
    </row>
    <row r="88" spans="1:12" x14ac:dyDescent="0.2">
      <c r="A88" s="31" t="str">
        <f>+A82</f>
        <v>Coletor</v>
      </c>
      <c r="B88" s="25" t="s">
        <v>9</v>
      </c>
      <c r="C88" s="184">
        <f>E33</f>
        <v>2</v>
      </c>
      <c r="D88" s="185">
        <v>0</v>
      </c>
      <c r="E88" s="216">
        <f>C88*D88</f>
        <v>0</v>
      </c>
      <c r="F88" s="265"/>
      <c r="G88" s="98"/>
      <c r="L88" s="381"/>
    </row>
    <row r="89" spans="1:12" x14ac:dyDescent="0.2">
      <c r="A89" s="31" t="str">
        <f>+A83</f>
        <v>Motorista</v>
      </c>
      <c r="B89" s="25" t="s">
        <v>9</v>
      </c>
      <c r="C89" s="184">
        <f>E34</f>
        <v>1</v>
      </c>
      <c r="D89" s="367">
        <v>113.11797309399398</v>
      </c>
      <c r="E89" s="216">
        <f>C89*D89</f>
        <v>113.11797309399398</v>
      </c>
      <c r="F89" s="261"/>
      <c r="H89" s="377"/>
      <c r="I89" s="362"/>
      <c r="J89" s="363"/>
      <c r="K89" s="363"/>
      <c r="L89" s="381"/>
    </row>
    <row r="90" spans="1:12" ht="16.5" thickBot="1" x14ac:dyDescent="0.25">
      <c r="A90" s="502" t="s">
        <v>300</v>
      </c>
      <c r="B90" s="503"/>
      <c r="C90" s="504"/>
      <c r="D90" s="257" t="s">
        <v>301</v>
      </c>
      <c r="E90" s="350">
        <f>$B$41</f>
        <v>0.5454</v>
      </c>
      <c r="F90" s="264">
        <f>SUM(E88:E89)*E90</f>
        <v>61.694542525464314</v>
      </c>
      <c r="G90" s="98"/>
      <c r="L90" s="381"/>
    </row>
    <row r="91" spans="1:12" ht="16.5" thickBot="1" x14ac:dyDescent="0.25">
      <c r="G91" s="98"/>
      <c r="L91" s="381"/>
    </row>
    <row r="92" spans="1:12" ht="16.5" thickBot="1" x14ac:dyDescent="0.25">
      <c r="A92" s="217" t="s">
        <v>306</v>
      </c>
      <c r="B92" s="218"/>
      <c r="C92" s="218"/>
      <c r="D92" s="156"/>
      <c r="E92" s="156"/>
      <c r="F92" s="219">
        <f>F90+F84+F78+F70+F55</f>
        <v>7373.3470491905755</v>
      </c>
      <c r="G92" s="98"/>
      <c r="L92" s="381"/>
    </row>
    <row r="93" spans="1:12" x14ac:dyDescent="0.2">
      <c r="A93" s="527"/>
      <c r="B93" s="527"/>
      <c r="C93" s="527"/>
      <c r="D93" s="527"/>
      <c r="E93" s="527"/>
      <c r="F93" s="527"/>
      <c r="L93" s="381"/>
    </row>
    <row r="94" spans="1:12" x14ac:dyDescent="0.2">
      <c r="A94" s="505" t="s">
        <v>46</v>
      </c>
      <c r="B94" s="505"/>
      <c r="C94" s="505"/>
      <c r="D94" s="505"/>
      <c r="E94" s="505"/>
      <c r="F94" s="505"/>
      <c r="G94" s="98"/>
      <c r="L94" s="381"/>
    </row>
    <row r="95" spans="1:12" ht="11.25" customHeight="1" x14ac:dyDescent="0.2">
      <c r="A95" s="467"/>
      <c r="B95" s="467"/>
      <c r="C95" s="467"/>
      <c r="D95" s="467"/>
      <c r="E95" s="467"/>
      <c r="F95" s="467"/>
      <c r="G95" s="98"/>
      <c r="L95" s="381"/>
    </row>
    <row r="96" spans="1:12" ht="13.9" customHeight="1" x14ac:dyDescent="0.2">
      <c r="A96" s="526" t="s">
        <v>307</v>
      </c>
      <c r="B96" s="526"/>
      <c r="C96" s="526"/>
      <c r="D96" s="526"/>
      <c r="E96" s="526"/>
      <c r="F96" s="526"/>
      <c r="G96" s="98"/>
      <c r="L96" s="381"/>
    </row>
    <row r="97" spans="1:12" ht="11.25" customHeight="1" thickBot="1" x14ac:dyDescent="0.25">
      <c r="A97" s="468"/>
      <c r="B97" s="468"/>
      <c r="C97" s="468"/>
      <c r="D97" s="468"/>
      <c r="E97" s="468"/>
      <c r="F97" s="468"/>
      <c r="G97" s="98"/>
      <c r="L97" s="381"/>
    </row>
    <row r="98" spans="1:12" ht="27.75" customHeight="1" thickBot="1" x14ac:dyDescent="0.25">
      <c r="A98" s="166" t="s">
        <v>65</v>
      </c>
      <c r="B98" s="167" t="s">
        <v>66</v>
      </c>
      <c r="C98" s="190" t="s">
        <v>239</v>
      </c>
      <c r="D98" s="168" t="s">
        <v>227</v>
      </c>
      <c r="E98" s="168" t="s">
        <v>67</v>
      </c>
      <c r="F98" s="169" t="s">
        <v>300</v>
      </c>
      <c r="G98" s="98"/>
      <c r="L98" s="381"/>
    </row>
    <row r="99" spans="1:12" x14ac:dyDescent="0.2">
      <c r="A99" s="251" t="s">
        <v>68</v>
      </c>
      <c r="B99" s="37" t="s">
        <v>9</v>
      </c>
      <c r="C99" s="269">
        <v>4</v>
      </c>
      <c r="D99" s="370">
        <v>98.4</v>
      </c>
      <c r="E99" s="171">
        <f>IFERROR(D99/C99,0)</f>
        <v>24.6</v>
      </c>
      <c r="F99" s="260"/>
      <c r="H99" s="377"/>
      <c r="I99" s="362"/>
      <c r="J99" s="363"/>
      <c r="K99" s="363"/>
      <c r="L99" s="381"/>
    </row>
    <row r="100" spans="1:12" ht="13.15" customHeight="1" x14ac:dyDescent="0.2">
      <c r="A100" s="31" t="s">
        <v>29</v>
      </c>
      <c r="B100" s="25" t="s">
        <v>9</v>
      </c>
      <c r="C100" s="191">
        <v>2</v>
      </c>
      <c r="D100" s="370">
        <v>50.42</v>
      </c>
      <c r="E100" s="171">
        <f t="shared" ref="E100:E108" si="1">IFERROR(D100/C100,0)</f>
        <v>25.21</v>
      </c>
      <c r="F100" s="260"/>
      <c r="H100" s="377"/>
      <c r="I100" s="362"/>
      <c r="J100" s="363"/>
      <c r="K100" s="363"/>
      <c r="L100" s="381"/>
    </row>
    <row r="101" spans="1:12" x14ac:dyDescent="0.2">
      <c r="A101" s="31" t="s">
        <v>30</v>
      </c>
      <c r="B101" s="25" t="s">
        <v>9</v>
      </c>
      <c r="C101" s="191">
        <v>2</v>
      </c>
      <c r="D101" s="370">
        <v>22.4</v>
      </c>
      <c r="E101" s="171">
        <f t="shared" si="1"/>
        <v>11.2</v>
      </c>
      <c r="F101" s="260"/>
      <c r="H101" s="377"/>
      <c r="I101" s="362"/>
      <c r="J101" s="363"/>
      <c r="K101" s="363"/>
      <c r="L101" s="381"/>
    </row>
    <row r="102" spans="1:12" ht="13.15" customHeight="1" x14ac:dyDescent="0.2">
      <c r="A102" s="31" t="s">
        <v>31</v>
      </c>
      <c r="B102" s="25" t="s">
        <v>9</v>
      </c>
      <c r="C102" s="191">
        <v>2</v>
      </c>
      <c r="D102" s="370">
        <v>17</v>
      </c>
      <c r="E102" s="171">
        <f t="shared" si="1"/>
        <v>8.5</v>
      </c>
      <c r="F102" s="260"/>
      <c r="H102" s="377"/>
      <c r="I102" s="362"/>
      <c r="J102" s="363"/>
      <c r="K102" s="363"/>
      <c r="L102" s="381"/>
    </row>
    <row r="103" spans="1:12" ht="13.9" customHeight="1" x14ac:dyDescent="0.2">
      <c r="A103" s="31" t="s">
        <v>70</v>
      </c>
      <c r="B103" s="25" t="s">
        <v>49</v>
      </c>
      <c r="C103" s="191">
        <v>2</v>
      </c>
      <c r="D103" s="370">
        <v>65.290000000000006</v>
      </c>
      <c r="E103" s="171">
        <f t="shared" si="1"/>
        <v>32.645000000000003</v>
      </c>
      <c r="F103" s="260"/>
      <c r="H103" s="377"/>
      <c r="I103" s="362"/>
      <c r="J103" s="363"/>
      <c r="K103" s="363"/>
      <c r="L103" s="381"/>
    </row>
    <row r="104" spans="1:12" ht="13.15" customHeight="1" x14ac:dyDescent="0.2">
      <c r="A104" s="31" t="s">
        <v>94</v>
      </c>
      <c r="B104" s="25" t="s">
        <v>49</v>
      </c>
      <c r="C104" s="191">
        <v>2</v>
      </c>
      <c r="D104" s="370">
        <v>8.75</v>
      </c>
      <c r="E104" s="171">
        <f t="shared" si="1"/>
        <v>4.375</v>
      </c>
      <c r="F104" s="260"/>
      <c r="H104" s="377"/>
      <c r="I104" s="362"/>
      <c r="J104" s="363"/>
      <c r="K104" s="363"/>
      <c r="L104" s="381"/>
    </row>
    <row r="105" spans="1:12" x14ac:dyDescent="0.2">
      <c r="A105" s="31" t="s">
        <v>69</v>
      </c>
      <c r="B105" s="25" t="s">
        <v>9</v>
      </c>
      <c r="C105" s="191">
        <v>2</v>
      </c>
      <c r="D105" s="370">
        <v>20.66</v>
      </c>
      <c r="E105" s="171">
        <f t="shared" si="1"/>
        <v>10.33</v>
      </c>
      <c r="F105" s="260"/>
      <c r="H105" s="377"/>
      <c r="I105" s="362"/>
      <c r="J105" s="363"/>
      <c r="K105" s="363"/>
      <c r="L105" s="381"/>
    </row>
    <row r="106" spans="1:12" s="20" customFormat="1" x14ac:dyDescent="0.25">
      <c r="A106" s="267" t="s">
        <v>10</v>
      </c>
      <c r="B106" s="27" t="s">
        <v>9</v>
      </c>
      <c r="C106" s="191">
        <v>6</v>
      </c>
      <c r="D106" s="370">
        <v>38.590000000000003</v>
      </c>
      <c r="E106" s="171">
        <f t="shared" si="1"/>
        <v>6.4316666666666675</v>
      </c>
      <c r="F106" s="270"/>
      <c r="G106" s="130"/>
      <c r="H106" s="377"/>
      <c r="I106" s="362"/>
      <c r="J106" s="363"/>
      <c r="K106" s="369"/>
      <c r="L106" s="384"/>
    </row>
    <row r="107" spans="1:12" x14ac:dyDescent="0.2">
      <c r="A107" s="31" t="s">
        <v>32</v>
      </c>
      <c r="B107" s="25" t="s">
        <v>49</v>
      </c>
      <c r="C107" s="191">
        <v>1</v>
      </c>
      <c r="D107" s="370">
        <v>19.170000000000002</v>
      </c>
      <c r="E107" s="171">
        <f t="shared" si="1"/>
        <v>19.170000000000002</v>
      </c>
      <c r="F107" s="260"/>
      <c r="H107" s="377"/>
      <c r="I107" s="362"/>
      <c r="J107" s="363"/>
      <c r="K107" s="363"/>
      <c r="L107" s="381"/>
    </row>
    <row r="108" spans="1:12" ht="13.15" customHeight="1" x14ac:dyDescent="0.2">
      <c r="A108" s="31" t="s">
        <v>64</v>
      </c>
      <c r="B108" s="25" t="s">
        <v>50</v>
      </c>
      <c r="C108" s="191">
        <v>1</v>
      </c>
      <c r="D108" s="370">
        <v>24.44</v>
      </c>
      <c r="E108" s="171">
        <f t="shared" si="1"/>
        <v>24.44</v>
      </c>
      <c r="F108" s="260"/>
      <c r="H108" s="377"/>
      <c r="I108" s="362"/>
      <c r="J108" s="363"/>
      <c r="K108" s="363"/>
      <c r="L108" s="381"/>
    </row>
    <row r="109" spans="1:12" x14ac:dyDescent="0.2">
      <c r="A109" s="31" t="s">
        <v>193</v>
      </c>
      <c r="B109" s="25" t="s">
        <v>120</v>
      </c>
      <c r="C109" s="192">
        <v>1</v>
      </c>
      <c r="D109" s="370">
        <v>82.46</v>
      </c>
      <c r="E109" s="173">
        <f t="shared" ref="E109:E110" si="2">C109*D109</f>
        <v>82.46</v>
      </c>
      <c r="F109" s="260"/>
      <c r="H109" s="377"/>
      <c r="I109" s="362"/>
      <c r="J109" s="363"/>
      <c r="K109" s="363"/>
      <c r="L109" s="381"/>
    </row>
    <row r="110" spans="1:12" x14ac:dyDescent="0.2">
      <c r="A110" s="31" t="s">
        <v>4</v>
      </c>
      <c r="B110" s="25" t="s">
        <v>5</v>
      </c>
      <c r="C110" s="192">
        <f>E33</f>
        <v>2</v>
      </c>
      <c r="D110" s="173">
        <f>+SUM(E99:E109)</f>
        <v>249.36166666666668</v>
      </c>
      <c r="E110" s="173">
        <f t="shared" si="2"/>
        <v>498.72333333333336</v>
      </c>
      <c r="F110" s="260"/>
      <c r="L110" s="381"/>
    </row>
    <row r="111" spans="1:12" ht="16.5" thickBot="1" x14ac:dyDescent="0.25">
      <c r="A111" s="496" t="s">
        <v>337</v>
      </c>
      <c r="B111" s="497"/>
      <c r="C111" s="498"/>
      <c r="D111" s="257" t="s">
        <v>301</v>
      </c>
      <c r="E111" s="349">
        <f>$B$41</f>
        <v>0.5454</v>
      </c>
      <c r="F111" s="211">
        <f>E110*E111</f>
        <v>272.00370600000002</v>
      </c>
      <c r="L111" s="381"/>
    </row>
    <row r="112" spans="1:12" ht="11.25" customHeight="1" x14ac:dyDescent="0.2">
      <c r="A112" s="467"/>
      <c r="B112" s="467"/>
      <c r="C112" s="467"/>
      <c r="D112" s="467"/>
      <c r="E112" s="467"/>
      <c r="F112" s="467"/>
      <c r="L112" s="381"/>
    </row>
    <row r="113" spans="1:12" ht="13.9" customHeight="1" x14ac:dyDescent="0.2">
      <c r="A113" s="526" t="s">
        <v>308</v>
      </c>
      <c r="B113" s="526"/>
      <c r="C113" s="526"/>
      <c r="D113" s="526"/>
      <c r="E113" s="526"/>
      <c r="F113" s="526"/>
      <c r="L113" s="381"/>
    </row>
    <row r="114" spans="1:12" ht="11.25" customHeight="1" thickBot="1" x14ac:dyDescent="0.25">
      <c r="A114" s="468"/>
      <c r="B114" s="468"/>
      <c r="C114" s="468"/>
      <c r="D114" s="468"/>
      <c r="E114" s="468"/>
      <c r="F114" s="468"/>
      <c r="L114" s="381"/>
    </row>
    <row r="115" spans="1:12" ht="32.25" thickBot="1" x14ac:dyDescent="0.25">
      <c r="A115" s="166" t="s">
        <v>65</v>
      </c>
      <c r="B115" s="167" t="s">
        <v>66</v>
      </c>
      <c r="C115" s="190" t="s">
        <v>239</v>
      </c>
      <c r="D115" s="168" t="s">
        <v>227</v>
      </c>
      <c r="E115" s="168" t="s">
        <v>67</v>
      </c>
      <c r="F115" s="169" t="s">
        <v>300</v>
      </c>
      <c r="L115" s="381"/>
    </row>
    <row r="116" spans="1:12" x14ac:dyDescent="0.2">
      <c r="A116" s="251" t="s">
        <v>68</v>
      </c>
      <c r="B116" s="37" t="s">
        <v>9</v>
      </c>
      <c r="C116" s="191">
        <v>12</v>
      </c>
      <c r="D116" s="170">
        <v>98.4</v>
      </c>
      <c r="E116" s="171">
        <f>IFERROR(D116/C116,0)</f>
        <v>8.2000000000000011</v>
      </c>
      <c r="F116" s="259"/>
      <c r="H116" s="377"/>
      <c r="I116" s="362"/>
      <c r="J116" s="363"/>
      <c r="K116" s="363"/>
      <c r="L116" s="381"/>
    </row>
    <row r="117" spans="1:12" x14ac:dyDescent="0.2">
      <c r="A117" s="31" t="s">
        <v>29</v>
      </c>
      <c r="B117" s="25" t="s">
        <v>9</v>
      </c>
      <c r="C117" s="191">
        <v>2</v>
      </c>
      <c r="D117" s="170">
        <v>50.42</v>
      </c>
      <c r="E117" s="171">
        <f t="shared" ref="E117:E121" si="3">IFERROR(D117/C117,0)</f>
        <v>25.21</v>
      </c>
      <c r="F117" s="260"/>
      <c r="H117" s="377"/>
      <c r="I117" s="362"/>
      <c r="J117" s="363"/>
      <c r="K117" s="363"/>
      <c r="L117" s="381"/>
    </row>
    <row r="118" spans="1:12" x14ac:dyDescent="0.2">
      <c r="A118" s="31" t="s">
        <v>30</v>
      </c>
      <c r="B118" s="25" t="s">
        <v>9</v>
      </c>
      <c r="C118" s="191">
        <v>2</v>
      </c>
      <c r="D118" s="170">
        <v>22.4</v>
      </c>
      <c r="E118" s="171">
        <f t="shared" si="3"/>
        <v>11.2</v>
      </c>
      <c r="F118" s="260"/>
      <c r="H118" s="377"/>
      <c r="I118" s="362"/>
      <c r="J118" s="363"/>
      <c r="K118" s="363"/>
      <c r="L118" s="381"/>
    </row>
    <row r="119" spans="1:12" x14ac:dyDescent="0.2">
      <c r="A119" s="31" t="s">
        <v>70</v>
      </c>
      <c r="B119" s="25" t="s">
        <v>49</v>
      </c>
      <c r="C119" s="191">
        <v>2</v>
      </c>
      <c r="D119" s="170">
        <v>65.290000000000006</v>
      </c>
      <c r="E119" s="171">
        <f t="shared" si="3"/>
        <v>32.645000000000003</v>
      </c>
      <c r="F119" s="260"/>
      <c r="H119" s="377"/>
      <c r="I119" s="362"/>
      <c r="J119" s="363"/>
      <c r="K119" s="363"/>
      <c r="L119" s="381"/>
    </row>
    <row r="120" spans="1:12" x14ac:dyDescent="0.2">
      <c r="A120" s="31" t="s">
        <v>69</v>
      </c>
      <c r="B120" s="25" t="s">
        <v>9</v>
      </c>
      <c r="C120" s="191">
        <v>2</v>
      </c>
      <c r="D120" s="170">
        <v>20.66</v>
      </c>
      <c r="E120" s="171">
        <f t="shared" si="3"/>
        <v>10.33</v>
      </c>
      <c r="F120" s="260"/>
      <c r="H120" s="377"/>
      <c r="I120" s="362"/>
      <c r="J120" s="363"/>
      <c r="K120" s="363"/>
      <c r="L120" s="381"/>
    </row>
    <row r="121" spans="1:12" x14ac:dyDescent="0.2">
      <c r="A121" s="31" t="s">
        <v>64</v>
      </c>
      <c r="B121" s="25" t="s">
        <v>50</v>
      </c>
      <c r="C121" s="191">
        <v>1</v>
      </c>
      <c r="D121" s="170">
        <v>24.44</v>
      </c>
      <c r="E121" s="171">
        <f t="shared" si="3"/>
        <v>24.44</v>
      </c>
      <c r="F121" s="260"/>
      <c r="H121" s="377"/>
      <c r="I121" s="362"/>
      <c r="J121" s="363"/>
      <c r="K121" s="363"/>
      <c r="L121" s="381"/>
    </row>
    <row r="122" spans="1:12" x14ac:dyDescent="0.2">
      <c r="A122" s="31" t="s">
        <v>193</v>
      </c>
      <c r="B122" s="25" t="s">
        <v>120</v>
      </c>
      <c r="C122" s="192">
        <v>1</v>
      </c>
      <c r="D122" s="170">
        <v>82.46</v>
      </c>
      <c r="E122" s="173">
        <f t="shared" ref="E122:E123" si="4">C122*D122</f>
        <v>82.46</v>
      </c>
      <c r="F122" s="260"/>
      <c r="H122" s="377"/>
      <c r="I122" s="362"/>
      <c r="J122" s="363"/>
      <c r="K122" s="363"/>
      <c r="L122" s="381"/>
    </row>
    <row r="123" spans="1:12" x14ac:dyDescent="0.2">
      <c r="A123" s="31" t="s">
        <v>4</v>
      </c>
      <c r="B123" s="25" t="s">
        <v>5</v>
      </c>
      <c r="C123" s="192">
        <f>E34</f>
        <v>1</v>
      </c>
      <c r="D123" s="173">
        <f>+SUM(E116:E122)</f>
        <v>194.48499999999999</v>
      </c>
      <c r="E123" s="173">
        <f t="shared" si="4"/>
        <v>194.48499999999999</v>
      </c>
      <c r="F123" s="260"/>
      <c r="G123" s="98"/>
      <c r="L123" s="381"/>
    </row>
    <row r="124" spans="1:12" ht="16.5" thickBot="1" x14ac:dyDescent="0.25">
      <c r="A124" s="496" t="s">
        <v>337</v>
      </c>
      <c r="B124" s="497"/>
      <c r="C124" s="498"/>
      <c r="D124" s="257" t="s">
        <v>301</v>
      </c>
      <c r="E124" s="349">
        <f>$B$41</f>
        <v>0.5454</v>
      </c>
      <c r="F124" s="211">
        <f>E123*E124</f>
        <v>106.07211899999999</v>
      </c>
      <c r="G124" s="98"/>
      <c r="L124" s="381"/>
    </row>
    <row r="125" spans="1:12" ht="11.25" customHeight="1" thickBot="1" x14ac:dyDescent="0.25">
      <c r="G125" s="98"/>
      <c r="L125" s="381"/>
    </row>
    <row r="126" spans="1:12" ht="16.5" thickBot="1" x14ac:dyDescent="0.25">
      <c r="A126" s="217" t="s">
        <v>194</v>
      </c>
      <c r="B126" s="271"/>
      <c r="C126" s="271"/>
      <c r="D126" s="272"/>
      <c r="E126" s="272"/>
      <c r="F126" s="178">
        <f>+F111+F124</f>
        <v>378.07582500000001</v>
      </c>
      <c r="G126" s="98"/>
      <c r="L126" s="381"/>
    </row>
    <row r="127" spans="1:12" ht="11.25" customHeight="1" x14ac:dyDescent="0.2">
      <c r="G127" s="98"/>
      <c r="L127" s="381"/>
    </row>
    <row r="128" spans="1:12" x14ac:dyDescent="0.2">
      <c r="A128" s="107" t="s">
        <v>55</v>
      </c>
      <c r="G128" s="98"/>
      <c r="L128" s="381"/>
    </row>
    <row r="129" spans="1:12" ht="11.25" customHeight="1" x14ac:dyDescent="0.2">
      <c r="B129" s="193"/>
      <c r="G129" s="98"/>
      <c r="L129" s="381"/>
    </row>
    <row r="130" spans="1:12" x14ac:dyDescent="0.2">
      <c r="A130" s="212" t="s">
        <v>501</v>
      </c>
      <c r="G130" s="98"/>
      <c r="L130" s="381"/>
    </row>
    <row r="131" spans="1:12" ht="11.25" customHeight="1" x14ac:dyDescent="0.2">
      <c r="G131" s="98"/>
      <c r="L131" s="381"/>
    </row>
    <row r="132" spans="1:12" ht="16.5" thickBot="1" x14ac:dyDescent="0.25">
      <c r="A132" s="221" t="s">
        <v>410</v>
      </c>
      <c r="G132" s="98"/>
      <c r="L132" s="381"/>
    </row>
    <row r="133" spans="1:12" ht="16.5" thickBot="1" x14ac:dyDescent="0.25">
      <c r="A133" s="166" t="s">
        <v>65</v>
      </c>
      <c r="B133" s="167" t="s">
        <v>66</v>
      </c>
      <c r="C133" s="167" t="s">
        <v>41</v>
      </c>
      <c r="D133" s="168" t="s">
        <v>227</v>
      </c>
      <c r="E133" s="168" t="s">
        <v>67</v>
      </c>
      <c r="F133" s="169" t="s">
        <v>300</v>
      </c>
      <c r="G133" s="98"/>
      <c r="L133" s="381"/>
    </row>
    <row r="134" spans="1:12" x14ac:dyDescent="0.2">
      <c r="A134" s="251" t="s">
        <v>107</v>
      </c>
      <c r="B134" s="37" t="s">
        <v>9</v>
      </c>
      <c r="C134" s="37">
        <v>1</v>
      </c>
      <c r="D134" s="370">
        <v>315845</v>
      </c>
      <c r="E134" s="215">
        <f>C134*D134</f>
        <v>315845</v>
      </c>
      <c r="F134" s="259"/>
      <c r="H134" s="377"/>
      <c r="I134" s="362"/>
      <c r="J134" s="363"/>
      <c r="K134" s="363"/>
      <c r="L134" s="381"/>
    </row>
    <row r="135" spans="1:12" x14ac:dyDescent="0.2">
      <c r="A135" s="31" t="s">
        <v>101</v>
      </c>
      <c r="B135" s="25" t="s">
        <v>102</v>
      </c>
      <c r="C135" s="30">
        <v>3</v>
      </c>
      <c r="D135" s="174"/>
      <c r="E135" s="214"/>
      <c r="F135" s="260"/>
      <c r="G135" s="98"/>
      <c r="L135" s="381"/>
    </row>
    <row r="136" spans="1:12" x14ac:dyDescent="0.2">
      <c r="A136" s="31" t="s">
        <v>201</v>
      </c>
      <c r="B136" s="25" t="s">
        <v>102</v>
      </c>
      <c r="C136" s="30">
        <v>0</v>
      </c>
      <c r="D136" s="173"/>
      <c r="E136" s="214"/>
      <c r="F136" s="273"/>
      <c r="I136" s="194"/>
      <c r="J136" s="194"/>
      <c r="K136" s="194"/>
      <c r="L136" s="381"/>
    </row>
    <row r="137" spans="1:12" x14ac:dyDescent="0.2">
      <c r="A137" s="31" t="s">
        <v>105</v>
      </c>
      <c r="B137" s="25" t="s">
        <v>2</v>
      </c>
      <c r="C137" s="176">
        <f>IFERROR(VLOOKUP(C135,'5. Depreciação'!A3:B17,2,FALSE),0)</f>
        <v>48.68</v>
      </c>
      <c r="D137" s="173">
        <f>E134</f>
        <v>315845</v>
      </c>
      <c r="E137" s="214">
        <f>C137*D137/100</f>
        <v>153753.34599999999</v>
      </c>
      <c r="F137" s="260"/>
      <c r="L137" s="381"/>
    </row>
    <row r="138" spans="1:12" ht="16.5" thickBot="1" x14ac:dyDescent="0.25">
      <c r="A138" s="274" t="s">
        <v>51</v>
      </c>
      <c r="B138" s="195" t="s">
        <v>7</v>
      </c>
      <c r="C138" s="195">
        <f>C135*12</f>
        <v>36</v>
      </c>
      <c r="D138" s="196">
        <f>IF(C136&lt;=C135,E137,0)</f>
        <v>153753.34599999999</v>
      </c>
      <c r="E138" s="222">
        <f>IFERROR(D138/C138,0)</f>
        <v>4270.9262777777776</v>
      </c>
      <c r="F138" s="260"/>
      <c r="L138" s="381"/>
    </row>
    <row r="139" spans="1:12" ht="16.5" thickTop="1" x14ac:dyDescent="0.2">
      <c r="A139" s="251" t="s">
        <v>106</v>
      </c>
      <c r="B139" s="37" t="s">
        <v>9</v>
      </c>
      <c r="C139" s="37">
        <f>C134</f>
        <v>1</v>
      </c>
      <c r="D139" s="370">
        <v>43952.383170305795</v>
      </c>
      <c r="E139" s="215">
        <f>C139*D139</f>
        <v>43952.383170305795</v>
      </c>
      <c r="F139" s="260"/>
      <c r="H139" s="377"/>
      <c r="I139" s="362"/>
      <c r="J139" s="363"/>
      <c r="K139" s="363"/>
      <c r="L139" s="381"/>
    </row>
    <row r="140" spans="1:12" x14ac:dyDescent="0.2">
      <c r="A140" s="31" t="s">
        <v>103</v>
      </c>
      <c r="B140" s="25" t="s">
        <v>102</v>
      </c>
      <c r="C140" s="30">
        <v>3</v>
      </c>
      <c r="D140" s="173"/>
      <c r="E140" s="214"/>
      <c r="F140" s="260"/>
      <c r="L140" s="381"/>
    </row>
    <row r="141" spans="1:12" x14ac:dyDescent="0.2">
      <c r="A141" s="31" t="s">
        <v>202</v>
      </c>
      <c r="B141" s="25" t="s">
        <v>102</v>
      </c>
      <c r="C141" s="30">
        <v>0</v>
      </c>
      <c r="D141" s="173"/>
      <c r="E141" s="214"/>
      <c r="F141" s="273"/>
      <c r="I141" s="194"/>
      <c r="J141" s="194"/>
      <c r="K141" s="194"/>
      <c r="L141" s="381"/>
    </row>
    <row r="142" spans="1:12" x14ac:dyDescent="0.2">
      <c r="A142" s="31" t="s">
        <v>104</v>
      </c>
      <c r="B142" s="25" t="s">
        <v>2</v>
      </c>
      <c r="C142" s="197">
        <f>IFERROR(VLOOKUP(C140,'5. Depreciação'!A3:B17,2,FALSE),0)</f>
        <v>48.68</v>
      </c>
      <c r="D142" s="173">
        <f>E139</f>
        <v>43952.383170305795</v>
      </c>
      <c r="E142" s="214">
        <f>C142*D142/100</f>
        <v>21396.020127304862</v>
      </c>
      <c r="F142" s="260"/>
      <c r="L142" s="381"/>
    </row>
    <row r="143" spans="1:12" x14ac:dyDescent="0.2">
      <c r="A143" s="275" t="s">
        <v>108</v>
      </c>
      <c r="B143" s="120" t="s">
        <v>7</v>
      </c>
      <c r="C143" s="120">
        <f>C140*12</f>
        <v>36</v>
      </c>
      <c r="D143" s="181">
        <f>IF(C141&lt;=C140,E142,0)</f>
        <v>21396.020127304862</v>
      </c>
      <c r="E143" s="223">
        <f>IFERROR(D143/C143,0)</f>
        <v>594.3338924251351</v>
      </c>
      <c r="F143" s="260"/>
      <c r="L143" s="381"/>
    </row>
    <row r="144" spans="1:12" x14ac:dyDescent="0.2">
      <c r="A144" s="276" t="s">
        <v>242</v>
      </c>
      <c r="B144" s="277"/>
      <c r="C144" s="277"/>
      <c r="D144" s="278"/>
      <c r="E144" s="224">
        <f>E138+E143</f>
        <v>4865.2601702029124</v>
      </c>
      <c r="F144" s="260"/>
      <c r="L144" s="381"/>
    </row>
    <row r="145" spans="1:12" x14ac:dyDescent="0.2">
      <c r="A145" s="275" t="s">
        <v>243</v>
      </c>
      <c r="B145" s="120" t="s">
        <v>9</v>
      </c>
      <c r="C145" s="30">
        <v>1</v>
      </c>
      <c r="D145" s="181">
        <f>E144</f>
        <v>4865.2601702029124</v>
      </c>
      <c r="E145" s="224">
        <f>C145*D145</f>
        <v>4865.2601702029124</v>
      </c>
      <c r="F145" s="260"/>
      <c r="L145" s="381"/>
    </row>
    <row r="146" spans="1:12" ht="16.5" thickBot="1" x14ac:dyDescent="0.25">
      <c r="A146" s="506" t="str">
        <f>F133</f>
        <v>Total (R$)</v>
      </c>
      <c r="B146" s="507"/>
      <c r="C146" s="508"/>
      <c r="D146" s="257" t="s">
        <v>301</v>
      </c>
      <c r="E146" s="350">
        <f>$B$41</f>
        <v>0.5454</v>
      </c>
      <c r="F146" s="211">
        <f>(E145*E146)*1.08</f>
        <v>2865.7939285749621</v>
      </c>
      <c r="L146" s="381"/>
    </row>
    <row r="147" spans="1:12" ht="11.25" customHeight="1" x14ac:dyDescent="0.2">
      <c r="L147" s="381"/>
    </row>
    <row r="148" spans="1:12" ht="16.5" thickBot="1" x14ac:dyDescent="0.25">
      <c r="A148" s="221" t="s">
        <v>411</v>
      </c>
      <c r="L148" s="381"/>
    </row>
    <row r="149" spans="1:12" ht="16.5" thickBot="1" x14ac:dyDescent="0.25">
      <c r="A149" s="166" t="s">
        <v>65</v>
      </c>
      <c r="B149" s="167" t="s">
        <v>66</v>
      </c>
      <c r="C149" s="167" t="s">
        <v>41</v>
      </c>
      <c r="D149" s="168" t="s">
        <v>227</v>
      </c>
      <c r="E149" s="168" t="s">
        <v>67</v>
      </c>
      <c r="F149" s="169" t="s">
        <v>300</v>
      </c>
      <c r="I149" s="194"/>
      <c r="J149" s="194"/>
      <c r="K149" s="194"/>
      <c r="L149" s="381"/>
    </row>
    <row r="150" spans="1:12" x14ac:dyDescent="0.2">
      <c r="A150" s="251" t="s">
        <v>109</v>
      </c>
      <c r="B150" s="37" t="s">
        <v>9</v>
      </c>
      <c r="C150" s="37">
        <v>1</v>
      </c>
      <c r="D150" s="171">
        <f>D134</f>
        <v>315845</v>
      </c>
      <c r="E150" s="215">
        <f>C150*D150</f>
        <v>315845</v>
      </c>
      <c r="F150" s="279"/>
      <c r="I150" s="194"/>
      <c r="J150" s="194"/>
      <c r="K150" s="194"/>
      <c r="L150" s="381"/>
    </row>
    <row r="151" spans="1:12" x14ac:dyDescent="0.2">
      <c r="A151" s="31" t="s">
        <v>205</v>
      </c>
      <c r="B151" s="25" t="s">
        <v>2</v>
      </c>
      <c r="C151" s="30">
        <v>13.75</v>
      </c>
      <c r="D151" s="173"/>
      <c r="E151" s="214"/>
      <c r="F151" s="273"/>
      <c r="I151" s="194"/>
      <c r="J151" s="194"/>
      <c r="K151" s="194"/>
      <c r="L151" s="381"/>
    </row>
    <row r="152" spans="1:12" x14ac:dyDescent="0.2">
      <c r="A152" s="31" t="s">
        <v>203</v>
      </c>
      <c r="B152" s="25" t="s">
        <v>34</v>
      </c>
      <c r="C152" s="198">
        <f>IFERROR(IF(C136&lt;=C135,E134-(C137/(100*C135)*C136)*E134,E134-E137),0)</f>
        <v>315845</v>
      </c>
      <c r="D152" s="173"/>
      <c r="E152" s="214"/>
      <c r="F152" s="273"/>
      <c r="I152" s="194"/>
      <c r="J152" s="194"/>
      <c r="K152" s="194"/>
      <c r="L152" s="381"/>
    </row>
    <row r="153" spans="1:12" x14ac:dyDescent="0.2">
      <c r="A153" s="31" t="s">
        <v>113</v>
      </c>
      <c r="B153" s="25" t="s">
        <v>34</v>
      </c>
      <c r="C153" s="174">
        <f>IFERROR(IF(C136&gt;=C135,C152,((((C152)-(E134-E137))*(((C135-C136)+1)/(2*(C135-C136))))+(E134-E137))),0)</f>
        <v>264593.88466666668</v>
      </c>
      <c r="D153" s="173"/>
      <c r="E153" s="214"/>
      <c r="F153" s="273"/>
      <c r="I153" s="194"/>
      <c r="J153" s="194"/>
      <c r="K153" s="194"/>
      <c r="L153" s="381"/>
    </row>
    <row r="154" spans="1:12" ht="16.5" thickBot="1" x14ac:dyDescent="0.25">
      <c r="A154" s="274" t="s">
        <v>114</v>
      </c>
      <c r="B154" s="195" t="s">
        <v>34</v>
      </c>
      <c r="C154" s="195"/>
      <c r="D154" s="199">
        <f>C151*C153/12/100</f>
        <v>3031.8049284722224</v>
      </c>
      <c r="E154" s="222">
        <f>D154</f>
        <v>3031.8049284722224</v>
      </c>
      <c r="F154" s="273"/>
      <c r="I154" s="194"/>
      <c r="J154" s="194"/>
      <c r="K154" s="194"/>
      <c r="L154" s="381"/>
    </row>
    <row r="155" spans="1:12" ht="16.5" thickTop="1" x14ac:dyDescent="0.2">
      <c r="A155" s="251" t="s">
        <v>110</v>
      </c>
      <c r="B155" s="37" t="s">
        <v>9</v>
      </c>
      <c r="C155" s="37">
        <f>C139</f>
        <v>1</v>
      </c>
      <c r="D155" s="171">
        <f>D139</f>
        <v>43952.383170305795</v>
      </c>
      <c r="E155" s="215">
        <f>C155*D155</f>
        <v>43952.383170305795</v>
      </c>
      <c r="F155" s="273"/>
      <c r="I155" s="194"/>
      <c r="J155" s="194"/>
      <c r="K155" s="194"/>
      <c r="L155" s="381"/>
    </row>
    <row r="156" spans="1:12" x14ac:dyDescent="0.2">
      <c r="A156" s="31" t="s">
        <v>205</v>
      </c>
      <c r="B156" s="25" t="s">
        <v>2</v>
      </c>
      <c r="C156" s="30">
        <v>13.75</v>
      </c>
      <c r="D156" s="173"/>
      <c r="E156" s="214"/>
      <c r="F156" s="273"/>
      <c r="I156" s="194"/>
      <c r="J156" s="194"/>
      <c r="K156" s="194"/>
      <c r="L156" s="381"/>
    </row>
    <row r="157" spans="1:12" x14ac:dyDescent="0.2">
      <c r="A157" s="31" t="s">
        <v>204</v>
      </c>
      <c r="B157" s="25" t="s">
        <v>34</v>
      </c>
      <c r="C157" s="198">
        <f>IFERROR(IF(C141&lt;=C140,E139-(C142/(100*C140)*C141)*E139,E139-E142),0)</f>
        <v>43952.383170305795</v>
      </c>
      <c r="D157" s="173"/>
      <c r="E157" s="214"/>
      <c r="F157" s="273"/>
      <c r="I157" s="194"/>
      <c r="J157" s="194"/>
      <c r="K157" s="194"/>
      <c r="L157" s="381"/>
    </row>
    <row r="158" spans="1:12" x14ac:dyDescent="0.2">
      <c r="A158" s="31" t="s">
        <v>115</v>
      </c>
      <c r="B158" s="25" t="s">
        <v>34</v>
      </c>
      <c r="C158" s="174">
        <f>IFERROR(IF(C141&gt;=C140,C157,((((C157)-(E139-E142))*(((C140-C141)+1)/(2*(C140-C141))))+(E139-E142))),0)</f>
        <v>36820.37646120417</v>
      </c>
      <c r="D158" s="173"/>
      <c r="E158" s="214"/>
      <c r="F158" s="273"/>
      <c r="I158" s="194"/>
      <c r="J158" s="194"/>
      <c r="K158" s="194"/>
      <c r="L158" s="381"/>
    </row>
    <row r="159" spans="1:12" x14ac:dyDescent="0.2">
      <c r="A159" s="275" t="s">
        <v>112</v>
      </c>
      <c r="B159" s="120" t="s">
        <v>34</v>
      </c>
      <c r="C159" s="120"/>
      <c r="D159" s="200">
        <f>C156*C158/12/100</f>
        <v>421.90014695129781</v>
      </c>
      <c r="E159" s="223">
        <f>D159</f>
        <v>421.90014695129781</v>
      </c>
      <c r="F159" s="273"/>
      <c r="I159" s="194"/>
      <c r="J159" s="194"/>
      <c r="K159" s="194"/>
      <c r="L159" s="381"/>
    </row>
    <row r="160" spans="1:12" x14ac:dyDescent="0.2">
      <c r="A160" s="276" t="s">
        <v>242</v>
      </c>
      <c r="B160" s="277"/>
      <c r="C160" s="277"/>
      <c r="D160" s="278"/>
      <c r="E160" s="224">
        <f>E154+E159</f>
        <v>3453.7050754235202</v>
      </c>
      <c r="F160" s="273"/>
      <c r="I160" s="194"/>
      <c r="J160" s="194"/>
      <c r="K160" s="194"/>
      <c r="L160" s="381"/>
    </row>
    <row r="161" spans="1:12" x14ac:dyDescent="0.2">
      <c r="A161" s="275" t="s">
        <v>243</v>
      </c>
      <c r="B161" s="120" t="s">
        <v>9</v>
      </c>
      <c r="C161" s="25">
        <f>C145</f>
        <v>1</v>
      </c>
      <c r="D161" s="181">
        <f>E160</f>
        <v>3453.7050754235202</v>
      </c>
      <c r="E161" s="224">
        <f>C161*D161</f>
        <v>3453.7050754235202</v>
      </c>
      <c r="F161" s="273"/>
      <c r="I161" s="194"/>
      <c r="J161" s="194"/>
      <c r="K161" s="194"/>
      <c r="L161" s="381"/>
    </row>
    <row r="162" spans="1:12" ht="16.5" thickBot="1" x14ac:dyDescent="0.25">
      <c r="A162" s="506" t="str">
        <f>F149</f>
        <v>Total (R$)</v>
      </c>
      <c r="B162" s="507"/>
      <c r="C162" s="508"/>
      <c r="D162" s="257" t="s">
        <v>301</v>
      </c>
      <c r="E162" s="350">
        <f>$B$41</f>
        <v>0.5454</v>
      </c>
      <c r="F162" s="211">
        <f>(E161*E162)*1.08</f>
        <v>2034.342807986867</v>
      </c>
      <c r="I162" s="194"/>
      <c r="J162" s="194"/>
      <c r="K162" s="194"/>
      <c r="L162" s="381"/>
    </row>
    <row r="163" spans="1:12" ht="11.25" customHeight="1" x14ac:dyDescent="0.2">
      <c r="I163" s="194"/>
      <c r="J163" s="194"/>
      <c r="K163" s="194"/>
      <c r="L163" s="381"/>
    </row>
    <row r="164" spans="1:12" ht="16.5" thickBot="1" x14ac:dyDescent="0.25">
      <c r="A164" s="220" t="s">
        <v>340</v>
      </c>
      <c r="I164" s="194"/>
      <c r="J164" s="194"/>
      <c r="K164" s="194"/>
      <c r="L164" s="381"/>
    </row>
    <row r="165" spans="1:12" ht="16.5" thickBot="1" x14ac:dyDescent="0.25">
      <c r="A165" s="166" t="s">
        <v>65</v>
      </c>
      <c r="B165" s="167" t="s">
        <v>66</v>
      </c>
      <c r="C165" s="167" t="s">
        <v>41</v>
      </c>
      <c r="D165" s="168" t="s">
        <v>227</v>
      </c>
      <c r="E165" s="168" t="s">
        <v>67</v>
      </c>
      <c r="F165" s="169" t="s">
        <v>300</v>
      </c>
      <c r="I165" s="194"/>
      <c r="J165" s="194"/>
      <c r="K165" s="194"/>
      <c r="L165" s="381"/>
    </row>
    <row r="166" spans="1:12" x14ac:dyDescent="0.2">
      <c r="A166" s="251" t="s">
        <v>11</v>
      </c>
      <c r="B166" s="37" t="s">
        <v>9</v>
      </c>
      <c r="C166" s="171">
        <f>C134</f>
        <v>1</v>
      </c>
      <c r="D166" s="371">
        <v>1166.5000736616337</v>
      </c>
      <c r="E166" s="171">
        <f>C166*D166</f>
        <v>1166.5000736616337</v>
      </c>
      <c r="F166" s="259"/>
      <c r="H166" s="377"/>
      <c r="I166" s="362"/>
      <c r="J166" s="363"/>
      <c r="K166" s="363"/>
      <c r="L166" s="381"/>
    </row>
    <row r="167" spans="1:12" x14ac:dyDescent="0.2">
      <c r="A167" s="31" t="s">
        <v>192</v>
      </c>
      <c r="B167" s="25" t="s">
        <v>9</v>
      </c>
      <c r="C167" s="171">
        <f>C134</f>
        <v>1</v>
      </c>
      <c r="D167" s="185">
        <f>66.7+5.78</f>
        <v>72.48</v>
      </c>
      <c r="E167" s="173">
        <f>C167*D167</f>
        <v>72.48</v>
      </c>
      <c r="F167" s="260"/>
      <c r="H167" s="377"/>
      <c r="I167" s="362"/>
      <c r="J167" s="363"/>
      <c r="K167" s="363"/>
      <c r="L167" s="381"/>
    </row>
    <row r="168" spans="1:12" x14ac:dyDescent="0.2">
      <c r="A168" s="31" t="s">
        <v>12</v>
      </c>
      <c r="B168" s="25" t="s">
        <v>9</v>
      </c>
      <c r="C168" s="171">
        <f>C134</f>
        <v>1</v>
      </c>
      <c r="D168" s="367">
        <v>3212.0478107293829</v>
      </c>
      <c r="E168" s="173">
        <f>C168*D168</f>
        <v>3212.0478107293829</v>
      </c>
      <c r="F168" s="280"/>
      <c r="H168" s="377"/>
      <c r="I168" s="362"/>
      <c r="J168" s="363"/>
      <c r="K168" s="363"/>
      <c r="L168" s="381"/>
    </row>
    <row r="169" spans="1:12" x14ac:dyDescent="0.2">
      <c r="A169" s="275" t="s">
        <v>13</v>
      </c>
      <c r="B169" s="120" t="s">
        <v>7</v>
      </c>
      <c r="C169" s="120">
        <v>12</v>
      </c>
      <c r="D169" s="181">
        <f>SUM(E166:E168)</f>
        <v>4451.0278843910164</v>
      </c>
      <c r="E169" s="181">
        <f>D169/C169</f>
        <v>370.91899036591803</v>
      </c>
      <c r="F169" s="260"/>
      <c r="I169" s="194"/>
      <c r="J169" s="194"/>
      <c r="K169" s="194"/>
      <c r="L169" s="381"/>
    </row>
    <row r="170" spans="1:12" ht="16.5" thickBot="1" x14ac:dyDescent="0.25">
      <c r="A170" s="281" t="str">
        <f>F165</f>
        <v>Total (R$)</v>
      </c>
      <c r="B170" s="282"/>
      <c r="C170" s="282"/>
      <c r="D170" s="257" t="s">
        <v>301</v>
      </c>
      <c r="E170" s="349">
        <f>$B$41</f>
        <v>0.5454</v>
      </c>
      <c r="F170" s="211">
        <f>E169*E170</f>
        <v>202.29921734557169</v>
      </c>
      <c r="I170" s="194"/>
      <c r="J170" s="194"/>
      <c r="K170" s="194"/>
      <c r="L170" s="381"/>
    </row>
    <row r="171" spans="1:12" ht="11.25" customHeight="1" x14ac:dyDescent="0.2">
      <c r="I171" s="194"/>
      <c r="J171" s="194"/>
      <c r="K171" s="194"/>
      <c r="L171" s="381"/>
    </row>
    <row r="172" spans="1:12" x14ac:dyDescent="0.2">
      <c r="A172" s="220" t="s">
        <v>412</v>
      </c>
      <c r="B172" s="201"/>
      <c r="I172" s="194"/>
      <c r="J172" s="194"/>
      <c r="K172" s="194"/>
      <c r="L172" s="381"/>
    </row>
    <row r="173" spans="1:12" ht="16.5" thickBot="1" x14ac:dyDescent="0.25">
      <c r="B173" s="201"/>
      <c r="I173" s="194"/>
      <c r="J173" s="194"/>
      <c r="K173" s="194"/>
      <c r="L173" s="381"/>
    </row>
    <row r="174" spans="1:12" ht="16.5" thickBot="1" x14ac:dyDescent="0.25">
      <c r="A174" s="186" t="s">
        <v>117</v>
      </c>
      <c r="B174" s="437">
        <v>1394.2</v>
      </c>
      <c r="I174" s="194"/>
      <c r="J174" s="194"/>
      <c r="K174" s="194"/>
      <c r="L174" s="381"/>
    </row>
    <row r="175" spans="1:12" ht="16.5" thickBot="1" x14ac:dyDescent="0.25">
      <c r="B175" s="201"/>
      <c r="I175" s="194"/>
      <c r="J175" s="194"/>
      <c r="K175" s="194"/>
      <c r="L175" s="381"/>
    </row>
    <row r="176" spans="1:12" ht="16.5" thickBot="1" x14ac:dyDescent="0.25">
      <c r="A176" s="166" t="s">
        <v>65</v>
      </c>
      <c r="B176" s="167" t="s">
        <v>66</v>
      </c>
      <c r="C176" s="167" t="s">
        <v>241</v>
      </c>
      <c r="D176" s="168" t="s">
        <v>227</v>
      </c>
      <c r="E176" s="168" t="s">
        <v>67</v>
      </c>
      <c r="F176" s="169" t="s">
        <v>300</v>
      </c>
      <c r="I176" s="194"/>
      <c r="J176" s="194"/>
      <c r="K176" s="194"/>
      <c r="L176" s="381"/>
    </row>
    <row r="177" spans="1:12" x14ac:dyDescent="0.2">
      <c r="A177" s="283" t="s">
        <v>14</v>
      </c>
      <c r="B177" s="226" t="s">
        <v>15</v>
      </c>
      <c r="C177" s="227">
        <v>1.9</v>
      </c>
      <c r="D177" s="378">
        <v>5.81</v>
      </c>
      <c r="E177" s="240"/>
      <c r="F177" s="259"/>
      <c r="H177" s="377"/>
      <c r="I177" s="362"/>
      <c r="J177" s="363"/>
      <c r="K177" s="363"/>
      <c r="L177" s="381"/>
    </row>
    <row r="178" spans="1:12" x14ac:dyDescent="0.2">
      <c r="A178" s="284" t="s">
        <v>16</v>
      </c>
      <c r="B178" s="231" t="s">
        <v>17</v>
      </c>
      <c r="C178" s="387">
        <f>SUM(B174)</f>
        <v>1394.2</v>
      </c>
      <c r="D178" s="233">
        <f>IFERROR(+D177/C177,"-")</f>
        <v>3.0578947368421052</v>
      </c>
      <c r="E178" s="241">
        <f>IFERROR(C178*D178,"-")</f>
        <v>4263.3168421052633</v>
      </c>
      <c r="F178" s="260"/>
      <c r="G178" s="364"/>
      <c r="I178" s="194"/>
      <c r="J178" s="194"/>
      <c r="K178" s="194"/>
      <c r="L178" s="381"/>
    </row>
    <row r="179" spans="1:12" x14ac:dyDescent="0.2">
      <c r="A179" s="70" t="s">
        <v>228</v>
      </c>
      <c r="B179" s="237" t="s">
        <v>18</v>
      </c>
      <c r="C179" s="238">
        <v>6</v>
      </c>
      <c r="D179" s="374">
        <v>34.145729622673869</v>
      </c>
      <c r="E179" s="242"/>
      <c r="F179" s="260"/>
      <c r="H179" s="377"/>
      <c r="I179" s="362"/>
      <c r="J179" s="363"/>
      <c r="K179" s="363"/>
      <c r="L179" s="381"/>
    </row>
    <row r="180" spans="1:12" x14ac:dyDescent="0.2">
      <c r="A180" s="69" t="s">
        <v>19</v>
      </c>
      <c r="B180" s="228" t="s">
        <v>17</v>
      </c>
      <c r="C180" s="388">
        <f>C178</f>
        <v>1394.2</v>
      </c>
      <c r="D180" s="230">
        <f>+C179*D179/1000</f>
        <v>0.20487437773604322</v>
      </c>
      <c r="E180" s="243">
        <f>C180*D180</f>
        <v>285.63585743959146</v>
      </c>
      <c r="F180" s="260"/>
      <c r="G180" s="365"/>
      <c r="I180" s="194"/>
      <c r="J180" s="194"/>
      <c r="K180" s="194"/>
      <c r="L180" s="381"/>
    </row>
    <row r="181" spans="1:12" x14ac:dyDescent="0.2">
      <c r="A181" s="285" t="s">
        <v>229</v>
      </c>
      <c r="B181" s="234" t="s">
        <v>18</v>
      </c>
      <c r="C181" s="235">
        <v>6.5</v>
      </c>
      <c r="D181" s="375">
        <v>64.057388772136164</v>
      </c>
      <c r="E181" s="244"/>
      <c r="F181" s="260"/>
      <c r="H181" s="377"/>
      <c r="I181" s="362"/>
      <c r="J181" s="363"/>
      <c r="K181" s="363"/>
      <c r="L181" s="381"/>
    </row>
    <row r="182" spans="1:12" x14ac:dyDescent="0.2">
      <c r="A182" s="69" t="s">
        <v>20</v>
      </c>
      <c r="B182" s="228" t="s">
        <v>17</v>
      </c>
      <c r="C182" s="388">
        <f>C178</f>
        <v>1394.2</v>
      </c>
      <c r="D182" s="230">
        <f>+C181*D181/1000</f>
        <v>0.41637302701888507</v>
      </c>
      <c r="E182" s="243">
        <f>C182*D182</f>
        <v>580.50727426972958</v>
      </c>
      <c r="F182" s="260"/>
      <c r="G182" s="365"/>
      <c r="I182" s="194"/>
      <c r="J182" s="194"/>
      <c r="K182" s="194"/>
      <c r="L182" s="381"/>
    </row>
    <row r="183" spans="1:12" x14ac:dyDescent="0.2">
      <c r="A183" s="70" t="s">
        <v>230</v>
      </c>
      <c r="B183" s="237" t="s">
        <v>18</v>
      </c>
      <c r="C183" s="238">
        <v>10</v>
      </c>
      <c r="D183" s="374">
        <v>11.404673693973072</v>
      </c>
      <c r="E183" s="242"/>
      <c r="F183" s="260"/>
      <c r="H183" s="377"/>
      <c r="I183" s="362"/>
      <c r="J183" s="363"/>
      <c r="K183" s="363"/>
      <c r="L183" s="381"/>
    </row>
    <row r="184" spans="1:12" x14ac:dyDescent="0.2">
      <c r="A184" s="69" t="s">
        <v>21</v>
      </c>
      <c r="B184" s="228" t="s">
        <v>17</v>
      </c>
      <c r="C184" s="388">
        <f>C178</f>
        <v>1394.2</v>
      </c>
      <c r="D184" s="230">
        <f>+C183*D183/1000</f>
        <v>0.11404673693973072</v>
      </c>
      <c r="E184" s="243">
        <f>C184*D184</f>
        <v>159.00396064137257</v>
      </c>
      <c r="F184" s="260"/>
      <c r="G184" s="365"/>
      <c r="I184" s="194"/>
      <c r="J184" s="194"/>
      <c r="K184" s="194"/>
      <c r="L184" s="381"/>
    </row>
    <row r="185" spans="1:12" x14ac:dyDescent="0.2">
      <c r="A185" s="70" t="s">
        <v>22</v>
      </c>
      <c r="B185" s="237" t="s">
        <v>23</v>
      </c>
      <c r="C185" s="238">
        <v>2</v>
      </c>
      <c r="D185" s="374">
        <v>27.180000779648395</v>
      </c>
      <c r="E185" s="242"/>
      <c r="F185" s="260"/>
      <c r="H185" s="377"/>
      <c r="I185" s="362"/>
      <c r="J185" s="363"/>
      <c r="K185" s="363"/>
      <c r="L185" s="381"/>
    </row>
    <row r="186" spans="1:12" x14ac:dyDescent="0.2">
      <c r="A186" s="69" t="s">
        <v>24</v>
      </c>
      <c r="B186" s="228" t="s">
        <v>17</v>
      </c>
      <c r="C186" s="388">
        <f>C178</f>
        <v>1394.2</v>
      </c>
      <c r="D186" s="230">
        <f>+C185*D185/1000</f>
        <v>5.4360001559296788E-2</v>
      </c>
      <c r="E186" s="243">
        <f>C186*D186</f>
        <v>75.788714173971584</v>
      </c>
      <c r="F186" s="260"/>
      <c r="G186" s="202"/>
      <c r="I186" s="194"/>
      <c r="J186" s="194"/>
      <c r="K186" s="194"/>
      <c r="L186" s="381"/>
    </row>
    <row r="187" spans="1:12" x14ac:dyDescent="0.2">
      <c r="A187" s="275" t="s">
        <v>240</v>
      </c>
      <c r="B187" s="120" t="s">
        <v>118</v>
      </c>
      <c r="C187" s="203"/>
      <c r="D187" s="204">
        <f>IFERROR(D178+D180+D182+D184+D186,0)</f>
        <v>3.8475488800960607</v>
      </c>
      <c r="E187" s="214"/>
      <c r="F187" s="260"/>
      <c r="G187" s="202"/>
      <c r="I187" s="194"/>
      <c r="J187" s="194"/>
      <c r="K187" s="194"/>
      <c r="L187" s="381"/>
    </row>
    <row r="188" spans="1:12" ht="16.5" thickBot="1" x14ac:dyDescent="0.25">
      <c r="A188" s="509" t="str">
        <f>F176</f>
        <v>Total (R$)</v>
      </c>
      <c r="B188" s="510"/>
      <c r="C188" s="510"/>
      <c r="D188" s="510"/>
      <c r="E188" s="511"/>
      <c r="F188" s="211">
        <f>SUM(E177:E186)</f>
        <v>5364.2526486299284</v>
      </c>
      <c r="I188" s="194"/>
      <c r="J188" s="194"/>
      <c r="K188" s="194"/>
      <c r="L188" s="381"/>
    </row>
    <row r="189" spans="1:12" ht="11.25" customHeight="1" x14ac:dyDescent="0.2">
      <c r="I189" s="194"/>
      <c r="J189" s="194"/>
      <c r="K189" s="194"/>
      <c r="L189" s="381"/>
    </row>
    <row r="190" spans="1:12" ht="16.5" thickBot="1" x14ac:dyDescent="0.25">
      <c r="A190" s="220" t="s">
        <v>413</v>
      </c>
      <c r="I190" s="194"/>
      <c r="J190" s="194"/>
      <c r="K190" s="194"/>
      <c r="L190" s="381"/>
    </row>
    <row r="191" spans="1:12" ht="16.5" thickBot="1" x14ac:dyDescent="0.25">
      <c r="A191" s="166" t="s">
        <v>65</v>
      </c>
      <c r="B191" s="167" t="s">
        <v>66</v>
      </c>
      <c r="C191" s="167" t="s">
        <v>41</v>
      </c>
      <c r="D191" s="168" t="s">
        <v>227</v>
      </c>
      <c r="E191" s="168" t="s">
        <v>67</v>
      </c>
      <c r="F191" s="169" t="s">
        <v>300</v>
      </c>
      <c r="I191" s="194"/>
      <c r="J191" s="194"/>
      <c r="K191" s="194"/>
      <c r="L191" s="381"/>
    </row>
    <row r="192" spans="1:12" x14ac:dyDescent="0.2">
      <c r="A192" s="251" t="s">
        <v>116</v>
      </c>
      <c r="B192" s="37" t="s">
        <v>118</v>
      </c>
      <c r="C192" s="173">
        <f>C178</f>
        <v>1394.2</v>
      </c>
      <c r="D192" s="370">
        <v>0.74</v>
      </c>
      <c r="E192" s="215">
        <f>C192*D192</f>
        <v>1031.7080000000001</v>
      </c>
      <c r="F192" s="259"/>
      <c r="H192" s="377"/>
      <c r="I192" s="362"/>
      <c r="J192" s="363"/>
      <c r="K192" s="363"/>
      <c r="L192" s="381"/>
    </row>
    <row r="193" spans="1:12" ht="16.5" thickBot="1" x14ac:dyDescent="0.25">
      <c r="A193" s="509" t="str">
        <f>F191</f>
        <v>Total (R$)</v>
      </c>
      <c r="B193" s="510"/>
      <c r="C193" s="510"/>
      <c r="D193" s="510"/>
      <c r="E193" s="511"/>
      <c r="F193" s="211">
        <f>E192</f>
        <v>1031.7080000000001</v>
      </c>
      <c r="I193" s="194"/>
      <c r="J193" s="194"/>
      <c r="K193" s="194"/>
      <c r="L193" s="381"/>
    </row>
    <row r="194" spans="1:12" ht="11.25" customHeight="1" x14ac:dyDescent="0.2">
      <c r="I194" s="194"/>
      <c r="J194" s="194"/>
      <c r="K194" s="194"/>
      <c r="L194" s="381"/>
    </row>
    <row r="195" spans="1:12" ht="16.5" thickBot="1" x14ac:dyDescent="0.25">
      <c r="A195" s="220" t="s">
        <v>414</v>
      </c>
      <c r="I195" s="194"/>
      <c r="J195" s="194"/>
      <c r="K195" s="194"/>
      <c r="L195" s="381"/>
    </row>
    <row r="196" spans="1:12" ht="16.5" thickBot="1" x14ac:dyDescent="0.25">
      <c r="A196" s="166" t="s">
        <v>65</v>
      </c>
      <c r="B196" s="167" t="s">
        <v>66</v>
      </c>
      <c r="C196" s="167" t="s">
        <v>41</v>
      </c>
      <c r="D196" s="168" t="s">
        <v>227</v>
      </c>
      <c r="E196" s="168" t="s">
        <v>67</v>
      </c>
      <c r="F196" s="169" t="s">
        <v>300</v>
      </c>
      <c r="I196" s="194"/>
      <c r="J196" s="194"/>
      <c r="K196" s="194"/>
      <c r="L196" s="381"/>
    </row>
    <row r="197" spans="1:12" x14ac:dyDescent="0.2">
      <c r="A197" s="251" t="s">
        <v>310</v>
      </c>
      <c r="B197" s="37" t="s">
        <v>9</v>
      </c>
      <c r="C197" s="205">
        <v>6</v>
      </c>
      <c r="D197" s="170">
        <v>1709.6</v>
      </c>
      <c r="E197" s="215">
        <f>C197*D197</f>
        <v>10257.599999999999</v>
      </c>
      <c r="F197" s="259"/>
      <c r="H197" s="377"/>
      <c r="I197" s="362"/>
      <c r="J197" s="363"/>
      <c r="K197" s="363"/>
      <c r="L197" s="381"/>
    </row>
    <row r="198" spans="1:12" x14ac:dyDescent="0.2">
      <c r="A198" s="251" t="s">
        <v>119</v>
      </c>
      <c r="B198" s="37" t="s">
        <v>9</v>
      </c>
      <c r="C198" s="205">
        <v>1</v>
      </c>
      <c r="D198" s="206"/>
      <c r="E198" s="215"/>
      <c r="F198" s="260"/>
      <c r="I198" s="194"/>
      <c r="J198" s="194"/>
      <c r="K198" s="194"/>
      <c r="L198" s="381"/>
    </row>
    <row r="199" spans="1:12" x14ac:dyDescent="0.2">
      <c r="A199" s="251" t="s">
        <v>72</v>
      </c>
      <c r="B199" s="37" t="s">
        <v>9</v>
      </c>
      <c r="C199" s="171">
        <f>C197*C198</f>
        <v>6</v>
      </c>
      <c r="D199" s="170">
        <v>751.20605169882504</v>
      </c>
      <c r="E199" s="215">
        <f>C199*D199</f>
        <v>4507.2363101929504</v>
      </c>
      <c r="F199" s="260"/>
      <c r="H199" s="377"/>
      <c r="I199" s="362"/>
      <c r="J199" s="363"/>
      <c r="K199" s="363"/>
      <c r="L199" s="381"/>
    </row>
    <row r="200" spans="1:12" x14ac:dyDescent="0.2">
      <c r="A200" s="31" t="s">
        <v>309</v>
      </c>
      <c r="B200" s="25" t="s">
        <v>25</v>
      </c>
      <c r="C200" s="207">
        <v>50000</v>
      </c>
      <c r="D200" s="173">
        <f>E197+E199</f>
        <v>14764.83631019295</v>
      </c>
      <c r="E200" s="214">
        <f>IFERROR(D200/C200,"-")</f>
        <v>0.29529672620385899</v>
      </c>
      <c r="F200" s="260"/>
      <c r="I200" s="194"/>
      <c r="J200" s="194"/>
      <c r="K200" s="194"/>
      <c r="L200" s="381"/>
    </row>
    <row r="201" spans="1:12" x14ac:dyDescent="0.2">
      <c r="A201" s="31" t="s">
        <v>56</v>
      </c>
      <c r="B201" s="25" t="s">
        <v>17</v>
      </c>
      <c r="C201" s="173">
        <f>B174</f>
        <v>1394.2</v>
      </c>
      <c r="D201" s="173">
        <f>E200</f>
        <v>0.29529672620385899</v>
      </c>
      <c r="E201" s="214">
        <f>IFERROR(C201*D201,0)</f>
        <v>411.70269567342024</v>
      </c>
      <c r="F201" s="260"/>
      <c r="I201" s="194"/>
      <c r="J201" s="194"/>
      <c r="K201" s="194"/>
      <c r="L201" s="381"/>
    </row>
    <row r="202" spans="1:12" ht="16.5" thickBot="1" x14ac:dyDescent="0.25">
      <c r="A202" s="509" t="str">
        <f>F196</f>
        <v>Total (R$)</v>
      </c>
      <c r="B202" s="510"/>
      <c r="C202" s="510"/>
      <c r="D202" s="510"/>
      <c r="E202" s="511"/>
      <c r="F202" s="211">
        <f>E201</f>
        <v>411.70269567342024</v>
      </c>
      <c r="I202" s="194"/>
      <c r="J202" s="194"/>
      <c r="K202" s="194"/>
      <c r="L202" s="381"/>
    </row>
    <row r="203" spans="1:12" ht="11.25" customHeight="1" x14ac:dyDescent="0.2">
      <c r="I203" s="194"/>
      <c r="J203" s="194"/>
      <c r="K203" s="194"/>
      <c r="L203" s="381"/>
    </row>
    <row r="204" spans="1:12" ht="11.25" customHeight="1" thickBot="1" x14ac:dyDescent="0.25">
      <c r="G204" s="98"/>
      <c r="L204" s="381"/>
    </row>
    <row r="205" spans="1:12" ht="16.5" thickBot="1" x14ac:dyDescent="0.25">
      <c r="A205" s="217" t="s">
        <v>219</v>
      </c>
      <c r="B205" s="218"/>
      <c r="C205" s="218"/>
      <c r="D205" s="156"/>
      <c r="E205" s="156"/>
      <c r="F205" s="213">
        <f>+SUM(F134:F204)</f>
        <v>11910.099298210749</v>
      </c>
      <c r="G205" s="98"/>
      <c r="L205" s="381"/>
    </row>
    <row r="206" spans="1:12" ht="11.25" customHeight="1" x14ac:dyDescent="0.2">
      <c r="G206" s="98"/>
      <c r="L206" s="381"/>
    </row>
    <row r="207" spans="1:12" x14ac:dyDescent="0.2">
      <c r="A207" s="107" t="s">
        <v>75</v>
      </c>
      <c r="B207" s="107"/>
      <c r="C207" s="107"/>
      <c r="D207" s="128"/>
      <c r="E207" s="128"/>
      <c r="F207" s="208"/>
      <c r="G207" s="98"/>
      <c r="L207" s="381"/>
    </row>
    <row r="208" spans="1:12" ht="11.25" customHeight="1" thickBot="1" x14ac:dyDescent="0.25">
      <c r="G208" s="98"/>
      <c r="L208" s="381"/>
    </row>
    <row r="209" spans="1:12" ht="16.5" thickBot="1" x14ac:dyDescent="0.25">
      <c r="A209" s="166" t="s">
        <v>65</v>
      </c>
      <c r="B209" s="167" t="s">
        <v>66</v>
      </c>
      <c r="C209" s="167" t="s">
        <v>41</v>
      </c>
      <c r="D209" s="168" t="s">
        <v>227</v>
      </c>
      <c r="E209" s="168" t="s">
        <v>67</v>
      </c>
      <c r="F209" s="169" t="s">
        <v>300</v>
      </c>
      <c r="G209" s="98"/>
      <c r="L209" s="381"/>
    </row>
    <row r="210" spans="1:12" x14ac:dyDescent="0.2">
      <c r="A210" s="31" t="s">
        <v>73</v>
      </c>
      <c r="B210" s="25" t="s">
        <v>9</v>
      </c>
      <c r="C210" s="191">
        <v>2</v>
      </c>
      <c r="D210" s="170">
        <v>39.472463443810987</v>
      </c>
      <c r="E210" s="214">
        <f>C210*D210/12</f>
        <v>6.5787439073018312</v>
      </c>
      <c r="F210" s="279"/>
      <c r="H210" s="377"/>
      <c r="I210" s="362"/>
      <c r="J210" s="363"/>
      <c r="K210" s="363"/>
      <c r="L210" s="381"/>
    </row>
    <row r="211" spans="1:12" x14ac:dyDescent="0.2">
      <c r="A211" s="31" t="s">
        <v>27</v>
      </c>
      <c r="B211" s="25" t="s">
        <v>9</v>
      </c>
      <c r="C211" s="191">
        <v>4</v>
      </c>
      <c r="D211" s="170">
        <v>29.911659149462309</v>
      </c>
      <c r="E211" s="214">
        <f t="shared" ref="E211:E214" si="5">C211*D211/12</f>
        <v>9.9705530498207704</v>
      </c>
      <c r="F211" s="273"/>
      <c r="H211" s="377"/>
      <c r="I211" s="362"/>
      <c r="J211" s="363"/>
      <c r="K211" s="363"/>
      <c r="L211" s="381"/>
    </row>
    <row r="212" spans="1:12" x14ac:dyDescent="0.2">
      <c r="A212" s="31" t="s">
        <v>28</v>
      </c>
      <c r="B212" s="25" t="s">
        <v>9</v>
      </c>
      <c r="C212" s="191">
        <v>6</v>
      </c>
      <c r="D212" s="170">
        <v>24.9</v>
      </c>
      <c r="E212" s="214">
        <f t="shared" si="5"/>
        <v>12.449999999999998</v>
      </c>
      <c r="F212" s="273"/>
      <c r="H212" s="377"/>
      <c r="I212" s="362"/>
      <c r="J212" s="363"/>
      <c r="K212" s="363"/>
      <c r="L212" s="381"/>
    </row>
    <row r="213" spans="1:12" x14ac:dyDescent="0.2">
      <c r="A213" s="31" t="s">
        <v>58</v>
      </c>
      <c r="B213" s="25" t="s">
        <v>59</v>
      </c>
      <c r="C213" s="191">
        <v>1</v>
      </c>
      <c r="D213" s="170">
        <v>286.8241288304605</v>
      </c>
      <c r="E213" s="214">
        <f t="shared" si="5"/>
        <v>23.902010735871709</v>
      </c>
      <c r="F213" s="273"/>
      <c r="H213" s="377"/>
      <c r="I213" s="362"/>
      <c r="J213" s="363"/>
      <c r="K213" s="363"/>
      <c r="L213" s="381"/>
    </row>
    <row r="214" spans="1:12" x14ac:dyDescent="0.2">
      <c r="A214" s="31" t="s">
        <v>61</v>
      </c>
      <c r="B214" s="25" t="s">
        <v>59</v>
      </c>
      <c r="C214" s="191">
        <v>1</v>
      </c>
      <c r="D214" s="170">
        <v>245.84925328325184</v>
      </c>
      <c r="E214" s="214">
        <f t="shared" si="5"/>
        <v>20.48743777360432</v>
      </c>
      <c r="F214" s="273"/>
      <c r="H214" s="377"/>
      <c r="I214" s="362"/>
      <c r="J214" s="363"/>
      <c r="K214" s="363"/>
      <c r="L214" s="381"/>
    </row>
    <row r="215" spans="1:12" ht="16.5" thickBot="1" x14ac:dyDescent="0.25">
      <c r="A215" s="509" t="s">
        <v>337</v>
      </c>
      <c r="B215" s="497"/>
      <c r="C215" s="286"/>
      <c r="D215" s="257" t="s">
        <v>301</v>
      </c>
      <c r="E215" s="350">
        <f>$B$41</f>
        <v>0.5454</v>
      </c>
      <c r="F215" s="211">
        <f>(E210+E211+E212+E213+E214)*E215</f>
        <v>40.026221777482895</v>
      </c>
      <c r="G215" s="98"/>
      <c r="L215" s="381"/>
    </row>
    <row r="216" spans="1:12" ht="11.25" customHeight="1" thickBot="1" x14ac:dyDescent="0.25">
      <c r="G216" s="98"/>
      <c r="L216" s="381"/>
    </row>
    <row r="217" spans="1:12" ht="16.5" thickBot="1" x14ac:dyDescent="0.25">
      <c r="A217" s="528" t="s">
        <v>220</v>
      </c>
      <c r="B217" s="529"/>
      <c r="C217" s="529"/>
      <c r="D217" s="529"/>
      <c r="E217" s="529"/>
      <c r="F217" s="178">
        <f>+F215</f>
        <v>40.026221777482895</v>
      </c>
      <c r="G217" s="98"/>
      <c r="L217" s="381"/>
    </row>
    <row r="218" spans="1:12" ht="11.25" customHeight="1" x14ac:dyDescent="0.2">
      <c r="G218" s="98"/>
      <c r="L218" s="381"/>
    </row>
    <row r="219" spans="1:12" x14ac:dyDescent="0.2">
      <c r="A219" s="107" t="s">
        <v>76</v>
      </c>
      <c r="B219" s="107"/>
      <c r="C219" s="107"/>
      <c r="D219" s="128"/>
      <c r="E219" s="128"/>
      <c r="F219" s="208"/>
      <c r="L219" s="381"/>
    </row>
    <row r="220" spans="1:12" ht="11.25" customHeight="1" thickBot="1" x14ac:dyDescent="0.25">
      <c r="L220" s="381"/>
    </row>
    <row r="221" spans="1:12" ht="16.5" thickBot="1" x14ac:dyDescent="0.25">
      <c r="A221" s="166" t="s">
        <v>65</v>
      </c>
      <c r="B221" s="167" t="s">
        <v>66</v>
      </c>
      <c r="C221" s="167" t="s">
        <v>41</v>
      </c>
      <c r="D221" s="168" t="s">
        <v>227</v>
      </c>
      <c r="E221" s="168" t="s">
        <v>67</v>
      </c>
      <c r="F221" s="169" t="s">
        <v>300</v>
      </c>
      <c r="L221" s="381"/>
    </row>
    <row r="222" spans="1:12" x14ac:dyDescent="0.2">
      <c r="A222" s="31" t="s">
        <v>217</v>
      </c>
      <c r="B222" s="25" t="s">
        <v>59</v>
      </c>
      <c r="C222" s="192">
        <f>C134</f>
        <v>1</v>
      </c>
      <c r="D222" s="185">
        <v>1160.9548071709116</v>
      </c>
      <c r="E222" s="214">
        <f>+D222*C222</f>
        <v>1160.9548071709116</v>
      </c>
      <c r="F222" s="279"/>
      <c r="H222" s="377"/>
      <c r="I222" s="362"/>
      <c r="J222" s="363"/>
      <c r="K222" s="363"/>
      <c r="L222" s="381"/>
    </row>
    <row r="223" spans="1:12" x14ac:dyDescent="0.2">
      <c r="A223" s="31" t="s">
        <v>62</v>
      </c>
      <c r="B223" s="25" t="s">
        <v>7</v>
      </c>
      <c r="C223" s="25">
        <v>60</v>
      </c>
      <c r="D223" s="173">
        <f>SUM(E222:E222)</f>
        <v>1160.9548071709116</v>
      </c>
      <c r="E223" s="214">
        <f>+D223/C223</f>
        <v>19.349246786181862</v>
      </c>
      <c r="F223" s="273"/>
      <c r="L223" s="381"/>
    </row>
    <row r="224" spans="1:12" x14ac:dyDescent="0.2">
      <c r="A224" s="31" t="s">
        <v>218</v>
      </c>
      <c r="B224" s="25" t="s">
        <v>9</v>
      </c>
      <c r="C224" s="192">
        <f>+C222</f>
        <v>1</v>
      </c>
      <c r="D224" s="185">
        <v>102.43718886802161</v>
      </c>
      <c r="E224" s="214">
        <f>C224*D224</f>
        <v>102.43718886802161</v>
      </c>
      <c r="F224" s="273"/>
      <c r="H224" s="377"/>
      <c r="I224" s="362"/>
      <c r="J224" s="363"/>
      <c r="K224" s="363"/>
      <c r="L224" s="381"/>
    </row>
    <row r="225" spans="1:12" x14ac:dyDescent="0.2">
      <c r="A225" s="31" t="s">
        <v>38</v>
      </c>
      <c r="B225" s="25" t="s">
        <v>7</v>
      </c>
      <c r="C225" s="25">
        <v>1</v>
      </c>
      <c r="D225" s="173">
        <f>+E224</f>
        <v>102.43718886802161</v>
      </c>
      <c r="E225" s="214">
        <f>+D225/C225</f>
        <v>102.43718886802161</v>
      </c>
      <c r="F225" s="273"/>
      <c r="L225" s="381"/>
    </row>
    <row r="226" spans="1:12" ht="16.5" thickBot="1" x14ac:dyDescent="0.25">
      <c r="A226" s="509" t="str">
        <f>F221</f>
        <v>Total (R$)</v>
      </c>
      <c r="B226" s="497"/>
      <c r="C226" s="286"/>
      <c r="D226" s="257" t="s">
        <v>301</v>
      </c>
      <c r="E226" s="350">
        <f>$B$41</f>
        <v>0.5454</v>
      </c>
      <c r="F226" s="211">
        <f>(E223+E225)*E226</f>
        <v>66.42232200580257</v>
      </c>
      <c r="L226" s="381"/>
    </row>
    <row r="227" spans="1:12" s="210" customFormat="1" ht="11.25" customHeight="1" thickBot="1" x14ac:dyDescent="0.25">
      <c r="A227" s="98"/>
      <c r="B227" s="98"/>
      <c r="C227" s="98"/>
      <c r="D227" s="130"/>
      <c r="E227" s="130"/>
      <c r="F227" s="130"/>
      <c r="G227" s="130"/>
    </row>
    <row r="228" spans="1:12" ht="16.5" thickBot="1" x14ac:dyDescent="0.25">
      <c r="A228" s="217" t="s">
        <v>216</v>
      </c>
      <c r="B228" s="218"/>
      <c r="C228" s="218"/>
      <c r="D228" s="156"/>
      <c r="E228" s="156"/>
      <c r="F228" s="178">
        <f>+F226</f>
        <v>66.42232200580257</v>
      </c>
      <c r="G228" s="209"/>
    </row>
    <row r="229" spans="1:12" ht="11.25" customHeight="1" thickBot="1" x14ac:dyDescent="0.25"/>
    <row r="230" spans="1:12" ht="17.25" customHeight="1" thickBot="1" x14ac:dyDescent="0.25">
      <c r="A230" s="217" t="s">
        <v>221</v>
      </c>
      <c r="B230" s="271"/>
      <c r="C230" s="271"/>
      <c r="D230" s="272"/>
      <c r="E230" s="272"/>
      <c r="F230" s="219">
        <f>+F92+F126+F205+F217+F228</f>
        <v>19767.970716184609</v>
      </c>
    </row>
    <row r="231" spans="1:12" ht="11.25" customHeight="1" x14ac:dyDescent="0.2"/>
    <row r="232" spans="1:12" s="130" customFormat="1" x14ac:dyDescent="0.2">
      <c r="A232" s="107" t="s">
        <v>90</v>
      </c>
      <c r="B232" s="98"/>
      <c r="C232" s="98"/>
      <c r="H232" s="98"/>
      <c r="I232" s="98"/>
      <c r="J232" s="98"/>
    </row>
    <row r="233" spans="1:12" s="130" customFormat="1" ht="11.25" customHeight="1" thickBot="1" x14ac:dyDescent="0.25">
      <c r="A233" s="98"/>
      <c r="B233" s="98"/>
      <c r="C233" s="98"/>
      <c r="H233" s="98"/>
      <c r="I233" s="98"/>
      <c r="J233" s="98"/>
    </row>
    <row r="234" spans="1:12" s="130" customFormat="1" ht="16.5" thickBot="1" x14ac:dyDescent="0.25">
      <c r="A234" s="166" t="s">
        <v>65</v>
      </c>
      <c r="B234" s="167" t="s">
        <v>66</v>
      </c>
      <c r="C234" s="167" t="s">
        <v>41</v>
      </c>
      <c r="D234" s="168" t="s">
        <v>227</v>
      </c>
      <c r="E234" s="168" t="s">
        <v>67</v>
      </c>
      <c r="F234" s="169" t="s">
        <v>300</v>
      </c>
      <c r="H234" s="98"/>
      <c r="I234" s="98"/>
      <c r="J234" s="98"/>
    </row>
    <row r="235" spans="1:12" s="130" customFormat="1" x14ac:dyDescent="0.2">
      <c r="A235" s="251" t="s">
        <v>37</v>
      </c>
      <c r="B235" s="37" t="s">
        <v>2</v>
      </c>
      <c r="C235" s="416">
        <f>SUM('4.BDI'!B14:C14)</f>
        <v>0.21820000000000001</v>
      </c>
      <c r="D235" s="171">
        <f>+F230</f>
        <v>19767.970716184609</v>
      </c>
      <c r="E235" s="215">
        <f>C235*D235</f>
        <v>4313.3712102714817</v>
      </c>
      <c r="F235" s="259"/>
      <c r="H235" s="98"/>
      <c r="I235" s="98"/>
      <c r="J235" s="98"/>
    </row>
    <row r="236" spans="1:12" s="130" customFormat="1" ht="16.5" thickBot="1" x14ac:dyDescent="0.25">
      <c r="A236" s="509" t="str">
        <f>F234</f>
        <v>Total (R$)</v>
      </c>
      <c r="B236" s="497"/>
      <c r="C236" s="497"/>
      <c r="D236" s="497"/>
      <c r="E236" s="497"/>
      <c r="F236" s="268">
        <f>+E235</f>
        <v>4313.3712102714817</v>
      </c>
      <c r="H236" s="98"/>
      <c r="I236" s="98"/>
      <c r="J236" s="98"/>
    </row>
    <row r="237" spans="1:12" s="130" customFormat="1" ht="11.25" customHeight="1" thickBot="1" x14ac:dyDescent="0.25">
      <c r="A237" s="98"/>
      <c r="B237" s="98"/>
      <c r="C237" s="98"/>
      <c r="H237" s="98"/>
      <c r="I237" s="98"/>
      <c r="J237" s="98"/>
    </row>
    <row r="238" spans="1:12" s="130" customFormat="1" ht="16.5" thickBot="1" x14ac:dyDescent="0.25">
      <c r="A238" s="217" t="s">
        <v>232</v>
      </c>
      <c r="B238" s="271"/>
      <c r="C238" s="271"/>
      <c r="D238" s="272"/>
      <c r="E238" s="272"/>
      <c r="F238" s="219">
        <f>F236</f>
        <v>4313.3712102714817</v>
      </c>
      <c r="H238" s="98"/>
      <c r="I238" s="98"/>
      <c r="J238" s="98"/>
    </row>
    <row r="239" spans="1:12" s="130" customFormat="1" x14ac:dyDescent="0.2">
      <c r="A239" s="107"/>
      <c r="B239" s="107"/>
      <c r="C239" s="107"/>
      <c r="D239" s="128"/>
      <c r="E239" s="128"/>
      <c r="F239" s="208"/>
      <c r="H239" s="98"/>
      <c r="I239" s="98"/>
      <c r="J239" s="98"/>
    </row>
    <row r="240" spans="1:12" s="130" customFormat="1" ht="11.25" customHeight="1" thickBot="1" x14ac:dyDescent="0.25">
      <c r="A240" s="98"/>
      <c r="B240" s="98"/>
      <c r="C240" s="98"/>
      <c r="H240" s="98"/>
      <c r="I240" s="98"/>
      <c r="J240" s="98"/>
    </row>
    <row r="241" spans="1:10" s="130" customFormat="1" ht="24.75" customHeight="1" thickBot="1" x14ac:dyDescent="0.25">
      <c r="A241" s="217" t="s">
        <v>222</v>
      </c>
      <c r="B241" s="271"/>
      <c r="C241" s="271"/>
      <c r="D241" s="272"/>
      <c r="E241" s="272"/>
      <c r="F241" s="219">
        <f>F230+F238</f>
        <v>24081.341926456091</v>
      </c>
      <c r="H241" s="98"/>
      <c r="I241" s="98"/>
      <c r="J241" s="98"/>
    </row>
    <row r="242" spans="1:10" s="130" customFormat="1" ht="12.6" customHeight="1" x14ac:dyDescent="0.2">
      <c r="A242" s="107"/>
      <c r="B242" s="107"/>
      <c r="C242" s="107"/>
      <c r="D242" s="128"/>
      <c r="E242" s="128"/>
      <c r="F242" s="128"/>
      <c r="H242" s="98"/>
      <c r="I242" s="98"/>
      <c r="J242" s="98"/>
    </row>
    <row r="243" spans="1:10" s="130" customFormat="1" ht="16.5" thickBot="1" x14ac:dyDescent="0.25">
      <c r="A243" s="98"/>
      <c r="B243" s="98"/>
      <c r="C243" s="98"/>
      <c r="H243" s="98"/>
      <c r="I243" s="98"/>
      <c r="J243" s="98"/>
    </row>
    <row r="244" spans="1:10" s="130" customFormat="1" ht="16.149999999999999" customHeight="1" thickBot="1" x14ac:dyDescent="0.25">
      <c r="A244" s="186" t="s">
        <v>215</v>
      </c>
      <c r="B244" s="187"/>
      <c r="C244" s="187"/>
      <c r="D244" s="245">
        <f>SUM('1.7.Destino final'!D246)</f>
        <v>340</v>
      </c>
      <c r="E244" s="189" t="s">
        <v>26</v>
      </c>
      <c r="H244" s="98"/>
      <c r="I244" s="98"/>
      <c r="J244" s="98"/>
    </row>
    <row r="245" spans="1:10" s="130" customFormat="1" ht="16.5" thickBot="1" x14ac:dyDescent="0.25">
      <c r="A245" s="98"/>
      <c r="B245" s="98"/>
      <c r="C245" s="98"/>
      <c r="H245" s="98"/>
      <c r="I245" s="98"/>
      <c r="J245" s="98"/>
    </row>
    <row r="246" spans="1:10" s="130" customFormat="1" ht="25.5" customHeight="1" thickBot="1" x14ac:dyDescent="0.25">
      <c r="A246" s="217" t="s">
        <v>71</v>
      </c>
      <c r="B246" s="218"/>
      <c r="C246" s="218"/>
      <c r="D246" s="156"/>
      <c r="E246" s="287" t="s">
        <v>33</v>
      </c>
      <c r="F246" s="288">
        <f>IFERROR(F241/D244,"-")</f>
        <v>70.827476254282615</v>
      </c>
      <c r="H246" s="98"/>
      <c r="I246" s="98"/>
      <c r="J246" s="98"/>
    </row>
    <row r="247" spans="1:10" s="130" customFormat="1" ht="12.6" customHeight="1" x14ac:dyDescent="0.2">
      <c r="A247" s="107"/>
      <c r="B247" s="107"/>
      <c r="C247" s="107"/>
      <c r="D247" s="128"/>
      <c r="E247" s="128"/>
      <c r="F247" s="128"/>
      <c r="H247" s="98"/>
      <c r="I247" s="98"/>
      <c r="J247" s="98"/>
    </row>
    <row r="248" spans="1:10" s="130" customFormat="1" ht="9.75" customHeight="1" x14ac:dyDescent="0.2">
      <c r="A248" s="129"/>
      <c r="H248" s="98"/>
      <c r="I248" s="98"/>
      <c r="J248" s="98"/>
    </row>
    <row r="249" spans="1:10" s="130" customFormat="1" ht="9.75" customHeight="1" x14ac:dyDescent="0.2">
      <c r="A249" s="129"/>
      <c r="H249" s="98"/>
      <c r="I249" s="98"/>
      <c r="J249" s="98"/>
    </row>
    <row r="250" spans="1:10" s="130" customFormat="1" ht="9.75" customHeight="1" x14ac:dyDescent="0.2">
      <c r="A250" s="129"/>
      <c r="H250" s="98"/>
      <c r="I250" s="98"/>
      <c r="J250" s="98"/>
    </row>
  </sheetData>
  <mergeCells count="52">
    <mergeCell ref="A236:E236"/>
    <mergeCell ref="A188:E188"/>
    <mergeCell ref="A193:E193"/>
    <mergeCell ref="A202:E202"/>
    <mergeCell ref="A217:E217"/>
    <mergeCell ref="A226:B226"/>
    <mergeCell ref="A215:B215"/>
    <mergeCell ref="A162:C162"/>
    <mergeCell ref="A93:F93"/>
    <mergeCell ref="A94:F94"/>
    <mergeCell ref="A95:F95"/>
    <mergeCell ref="A96:F96"/>
    <mergeCell ref="A97:F97"/>
    <mergeCell ref="A111:C111"/>
    <mergeCell ref="A112:F112"/>
    <mergeCell ref="A113:F113"/>
    <mergeCell ref="A114:F114"/>
    <mergeCell ref="A124:C124"/>
    <mergeCell ref="A146:C146"/>
    <mergeCell ref="A90:C90"/>
    <mergeCell ref="A72:F72"/>
    <mergeCell ref="A78:E78"/>
    <mergeCell ref="A58:F58"/>
    <mergeCell ref="A66:D66"/>
    <mergeCell ref="A68:D68"/>
    <mergeCell ref="A70:C70"/>
    <mergeCell ref="A71:F71"/>
    <mergeCell ref="A79:F79"/>
    <mergeCell ref="A80:F80"/>
    <mergeCell ref="A84:E84"/>
    <mergeCell ref="A85:F85"/>
    <mergeCell ref="A86:F86"/>
    <mergeCell ref="A56:F56"/>
    <mergeCell ref="A57:F57"/>
    <mergeCell ref="A43:F43"/>
    <mergeCell ref="A44:F44"/>
    <mergeCell ref="A45:F45"/>
    <mergeCell ref="A51:D51"/>
    <mergeCell ref="A53:D53"/>
    <mergeCell ref="A55:C55"/>
    <mergeCell ref="A42:F42"/>
    <mergeCell ref="A1:F1"/>
    <mergeCell ref="A2:F2"/>
    <mergeCell ref="A3:F3"/>
    <mergeCell ref="A4:F4"/>
    <mergeCell ref="A5:F5"/>
    <mergeCell ref="A6:F6"/>
    <mergeCell ref="A8:F8"/>
    <mergeCell ref="A16:C16"/>
    <mergeCell ref="A31:E31"/>
    <mergeCell ref="A32:D32"/>
    <mergeCell ref="A37:D37"/>
  </mergeCells>
  <hyperlinks>
    <hyperlink ref="A148" location="AbaRemun" display="3.1.2. Remuneração do Capital" xr:uid="{00000000-0004-0000-0300-000000000000}"/>
    <hyperlink ref="A132" location="AbaDeprec" display="3.1.1. Depreciação" xr:uid="{00000000-0004-0000-0300-000001000000}"/>
  </hyperlinks>
  <pageMargins left="0.9055118110236221" right="0.51181102362204722" top="0.74803149606299213" bottom="0.74803149606299213" header="0.31496062992125984" footer="0.31496062992125984"/>
  <pageSetup paperSize="9" scale="68" fitToHeight="0" orientation="portrait" r:id="rId1"/>
  <headerFooter alignWithMargins="0">
    <oddFooter>&amp;R&amp;P de &amp;N</oddFooter>
  </headerFooter>
  <rowBreaks count="4" manualBreakCount="4">
    <brk id="42" max="5" man="1"/>
    <brk id="71" max="5" man="1"/>
    <brk id="127" max="5" man="1"/>
    <brk id="189" max="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57"/>
  <sheetViews>
    <sheetView tabSelected="1" view="pageBreakPreview" topLeftCell="A61" zoomScaleNormal="100" zoomScaleSheetLayoutView="100" workbookViewId="0">
      <selection activeCell="D156" sqref="D156"/>
    </sheetView>
  </sheetViews>
  <sheetFormatPr defaultColWidth="9.140625" defaultRowHeight="15.75" x14ac:dyDescent="0.2"/>
  <cols>
    <col min="1" max="1" width="51.5703125" style="98" customWidth="1"/>
    <col min="2" max="2" width="19.85546875" style="98" customWidth="1"/>
    <col min="3" max="3" width="14.7109375" style="98" customWidth="1"/>
    <col min="4" max="4" width="14.7109375" style="130" customWidth="1"/>
    <col min="5" max="5" width="17.28515625" style="130" customWidth="1"/>
    <col min="6" max="6" width="20.85546875" style="130" customWidth="1"/>
    <col min="7" max="7" width="19.42578125" style="130" customWidth="1"/>
    <col min="8" max="8" width="7.5703125" style="98" customWidth="1"/>
    <col min="9" max="9" width="17.28515625" style="98" customWidth="1"/>
    <col min="10" max="10" width="13.42578125" style="98" customWidth="1"/>
    <col min="11" max="11" width="12.7109375" style="98" bestFit="1" customWidth="1"/>
    <col min="12" max="12" width="15.85546875" style="98" bestFit="1" customWidth="1"/>
    <col min="13" max="16384" width="9.140625" style="98"/>
  </cols>
  <sheetData>
    <row r="1" spans="1:6" x14ac:dyDescent="0.2">
      <c r="A1" s="466" t="s">
        <v>197</v>
      </c>
      <c r="B1" s="466"/>
      <c r="C1" s="466"/>
      <c r="D1" s="466"/>
      <c r="E1" s="466"/>
      <c r="F1" s="466"/>
    </row>
    <row r="2" spans="1:6" ht="15.6" customHeight="1" x14ac:dyDescent="0.2">
      <c r="A2" s="467" t="s">
        <v>298</v>
      </c>
      <c r="B2" s="467"/>
      <c r="C2" s="467"/>
      <c r="D2" s="467"/>
      <c r="E2" s="467"/>
      <c r="F2" s="467"/>
    </row>
    <row r="3" spans="1:6" ht="15.6" customHeight="1" x14ac:dyDescent="0.2">
      <c r="A3" s="519" t="s">
        <v>299</v>
      </c>
      <c r="B3" s="519"/>
      <c r="C3" s="519"/>
      <c r="D3" s="519"/>
      <c r="E3" s="519"/>
      <c r="F3" s="519"/>
    </row>
    <row r="4" spans="1:6" ht="16.5" customHeight="1" thickBot="1" x14ac:dyDescent="0.25">
      <c r="A4" s="468"/>
      <c r="B4" s="468"/>
      <c r="C4" s="468"/>
      <c r="D4" s="468"/>
      <c r="E4" s="468"/>
      <c r="F4" s="468"/>
    </row>
    <row r="5" spans="1:6" x14ac:dyDescent="0.2">
      <c r="A5" s="469" t="s">
        <v>550</v>
      </c>
      <c r="B5" s="470"/>
      <c r="C5" s="470"/>
      <c r="D5" s="470"/>
      <c r="E5" s="470"/>
      <c r="F5" s="471"/>
    </row>
    <row r="6" spans="1:6" ht="21.75" customHeight="1" thickBot="1" x14ac:dyDescent="0.25">
      <c r="A6" s="547" t="s">
        <v>44</v>
      </c>
      <c r="B6" s="548"/>
      <c r="C6" s="548"/>
      <c r="D6" s="548"/>
      <c r="E6" s="548"/>
      <c r="F6" s="549"/>
    </row>
    <row r="7" spans="1:6" ht="46.5" customHeight="1" x14ac:dyDescent="0.2">
      <c r="A7" s="551" t="s">
        <v>408</v>
      </c>
      <c r="B7" s="551"/>
      <c r="C7" s="551"/>
      <c r="D7" s="551"/>
      <c r="E7" s="551"/>
      <c r="F7" s="551"/>
    </row>
    <row r="8" spans="1:6" ht="21.75" customHeight="1" x14ac:dyDescent="0.2">
      <c r="A8" s="552" t="s">
        <v>405</v>
      </c>
      <c r="B8" s="552"/>
      <c r="C8" s="552"/>
      <c r="D8" s="552"/>
      <c r="E8" s="552"/>
      <c r="F8" s="552"/>
    </row>
    <row r="9" spans="1:6" ht="36" customHeight="1" x14ac:dyDescent="0.2">
      <c r="A9" s="550" t="s">
        <v>355</v>
      </c>
      <c r="B9" s="551"/>
      <c r="C9" s="551"/>
      <c r="D9" s="551"/>
      <c r="E9" s="551"/>
      <c r="F9" s="551"/>
    </row>
    <row r="10" spans="1:6" ht="21.75" customHeight="1" x14ac:dyDescent="0.2">
      <c r="A10" s="247" t="s">
        <v>348</v>
      </c>
      <c r="B10" s="248" t="s">
        <v>379</v>
      </c>
      <c r="C10" s="108"/>
      <c r="D10" s="108"/>
      <c r="E10" s="108"/>
      <c r="F10" s="108"/>
    </row>
    <row r="11" spans="1:6" ht="21.75" customHeight="1" x14ac:dyDescent="0.2">
      <c r="A11" s="249" t="s">
        <v>351</v>
      </c>
      <c r="B11" s="248" t="s">
        <v>379</v>
      </c>
      <c r="C11" s="108"/>
      <c r="D11" s="108"/>
      <c r="E11" s="108"/>
      <c r="F11" s="108"/>
    </row>
    <row r="12" spans="1:6" ht="21.75" customHeight="1" x14ac:dyDescent="0.2">
      <c r="A12" s="519" t="s">
        <v>546</v>
      </c>
      <c r="B12" s="519"/>
      <c r="C12" s="519"/>
      <c r="D12" s="519"/>
      <c r="E12" s="519"/>
      <c r="F12" s="519"/>
    </row>
    <row r="13" spans="1:6" ht="32.25" customHeight="1" x14ac:dyDescent="0.2">
      <c r="A13" s="551" t="s">
        <v>407</v>
      </c>
      <c r="B13" s="551"/>
      <c r="C13" s="551"/>
      <c r="D13" s="551"/>
      <c r="E13" s="551"/>
      <c r="F13" s="551"/>
    </row>
    <row r="14" spans="1:6" ht="10.9" customHeight="1" thickBot="1" x14ac:dyDescent="0.25">
      <c r="A14" s="313"/>
      <c r="B14" s="314"/>
      <c r="C14" s="314"/>
      <c r="D14" s="315"/>
      <c r="E14" s="315"/>
      <c r="F14" s="315"/>
    </row>
    <row r="15" spans="1:6" ht="15.75" customHeight="1" thickBot="1" x14ac:dyDescent="0.25">
      <c r="A15" s="463" t="s">
        <v>196</v>
      </c>
      <c r="B15" s="464"/>
      <c r="C15" s="464"/>
      <c r="D15" s="464"/>
      <c r="E15" s="464"/>
      <c r="F15" s="465"/>
    </row>
    <row r="16" spans="1:6" x14ac:dyDescent="0.2">
      <c r="A16" s="134" t="s">
        <v>195</v>
      </c>
      <c r="B16" s="135"/>
      <c r="C16" s="135"/>
      <c r="D16" s="136"/>
      <c r="E16" s="137" t="s">
        <v>39</v>
      </c>
      <c r="F16" s="138" t="s">
        <v>2</v>
      </c>
    </row>
    <row r="17" spans="1:7" s="107" customFormat="1" x14ac:dyDescent="0.2">
      <c r="A17" s="139" t="str">
        <f>A52</f>
        <v>1. Mão-de-obra</v>
      </c>
      <c r="B17" s="140"/>
      <c r="C17" s="141"/>
      <c r="D17" s="141"/>
      <c r="E17" s="142">
        <f>SUM(E18:E21)</f>
        <v>1670.5821546241002</v>
      </c>
      <c r="F17" s="143">
        <f t="shared" ref="F17:F33" si="0">IFERROR(E17/$E$34,0)</f>
        <v>0.11285746492757473</v>
      </c>
      <c r="G17" s="129"/>
    </row>
    <row r="18" spans="1:7" x14ac:dyDescent="0.2">
      <c r="A18" s="144" t="str">
        <f>A55</f>
        <v>1.3. Motorista Turno do Dia</v>
      </c>
      <c r="B18" s="145"/>
      <c r="C18" s="146"/>
      <c r="D18" s="146"/>
      <c r="E18" s="147">
        <f>F67</f>
        <v>1095.2965802969998</v>
      </c>
      <c r="F18" s="148">
        <f t="shared" si="0"/>
        <v>7.3993604597060586E-2</v>
      </c>
    </row>
    <row r="19" spans="1:7" x14ac:dyDescent="0.2">
      <c r="A19" s="144" t="str">
        <f>A70</f>
        <v>1.7. Vale Transporte</v>
      </c>
      <c r="B19" s="145"/>
      <c r="C19" s="146"/>
      <c r="D19" s="146"/>
      <c r="E19" s="147">
        <f>F75</f>
        <v>107.63830306436839</v>
      </c>
      <c r="F19" s="148">
        <f t="shared" si="0"/>
        <v>7.2715885174075758E-3</v>
      </c>
    </row>
    <row r="20" spans="1:7" x14ac:dyDescent="0.2">
      <c r="A20" s="144" t="str">
        <f>A77</f>
        <v>1.8. Vale-refeição (diário)</v>
      </c>
      <c r="B20" s="145"/>
      <c r="C20" s="146"/>
      <c r="D20" s="146"/>
      <c r="E20" s="147">
        <f>F80</f>
        <v>436.79999999999995</v>
      </c>
      <c r="F20" s="148">
        <f t="shared" si="0"/>
        <v>2.9508360629805018E-2</v>
      </c>
    </row>
    <row r="21" spans="1:7" x14ac:dyDescent="0.2">
      <c r="A21" s="144" t="str">
        <f>A82</f>
        <v>1.9. Auxílio Alimentação (mensal)</v>
      </c>
      <c r="B21" s="145"/>
      <c r="C21" s="146"/>
      <c r="D21" s="146"/>
      <c r="E21" s="147">
        <f>F85</f>
        <v>30.847271262732157</v>
      </c>
      <c r="F21" s="148">
        <f t="shared" si="0"/>
        <v>2.0839111833015601E-3</v>
      </c>
    </row>
    <row r="22" spans="1:7" s="107" customFormat="1" x14ac:dyDescent="0.2">
      <c r="A22" s="512" t="str">
        <f>A89</f>
        <v>2. Uniformes e Equipamentos de Proteção Individual</v>
      </c>
      <c r="B22" s="513"/>
      <c r="C22" s="513"/>
      <c r="D22" s="141"/>
      <c r="E22" s="142">
        <f>+F104</f>
        <v>53.036059499999993</v>
      </c>
      <c r="F22" s="143">
        <f t="shared" si="0"/>
        <v>3.5828918729619882E-3</v>
      </c>
      <c r="G22" s="129"/>
    </row>
    <row r="23" spans="1:7" s="107" customFormat="1" x14ac:dyDescent="0.2">
      <c r="A23" s="149" t="str">
        <f>A106</f>
        <v>3. Veículos e Equipamentos</v>
      </c>
      <c r="B23" s="395"/>
      <c r="C23" s="141"/>
      <c r="D23" s="141"/>
      <c r="E23" s="142">
        <f>+F182</f>
        <v>10374.474156989001</v>
      </c>
      <c r="F23" s="143">
        <f t="shared" si="0"/>
        <v>0.70085559699868105</v>
      </c>
      <c r="G23" s="129"/>
    </row>
    <row r="24" spans="1:7" x14ac:dyDescent="0.2">
      <c r="A24" s="151" t="str">
        <f>A108</f>
        <v>3.5. Estacão de transbordo com capacidade mínima de 11,333 ton/dia.</v>
      </c>
      <c r="B24" s="396"/>
      <c r="C24" s="146"/>
      <c r="D24" s="146"/>
      <c r="E24" s="147">
        <f>SUM(E25:E30)</f>
        <v>10374.474156989001</v>
      </c>
      <c r="F24" s="148">
        <f t="shared" si="0"/>
        <v>0.70085559699868105</v>
      </c>
    </row>
    <row r="25" spans="1:7" x14ac:dyDescent="0.2">
      <c r="A25" s="151" t="str">
        <f>A110</f>
        <v>3.5.1. Depreciação</v>
      </c>
      <c r="B25" s="396"/>
      <c r="C25" s="146"/>
      <c r="D25" s="146"/>
      <c r="E25" s="147">
        <f>F124</f>
        <v>1798.9001283600001</v>
      </c>
      <c r="F25" s="148">
        <f t="shared" si="0"/>
        <v>0.12152608453445381</v>
      </c>
    </row>
    <row r="26" spans="1:7" x14ac:dyDescent="0.2">
      <c r="A26" s="151" t="str">
        <f>A126</f>
        <v>3.5.2. Remuneração do Capital</v>
      </c>
      <c r="B26" s="396"/>
      <c r="C26" s="146"/>
      <c r="D26" s="146"/>
      <c r="E26" s="147">
        <f>F140</f>
        <v>1276.9862836004997</v>
      </c>
      <c r="F26" s="148">
        <f t="shared" si="0"/>
        <v>8.6267792527010112E-2</v>
      </c>
    </row>
    <row r="27" spans="1:7" x14ac:dyDescent="0.2">
      <c r="A27" s="151" t="str">
        <f>A142</f>
        <v>3.5.3. Impostos e Seguros</v>
      </c>
      <c r="B27" s="396"/>
      <c r="C27" s="146"/>
      <c r="D27" s="146"/>
      <c r="E27" s="147">
        <f>F148</f>
        <v>108.94709266077544</v>
      </c>
      <c r="F27" s="148">
        <f t="shared" si="0"/>
        <v>7.3600048072411757E-3</v>
      </c>
    </row>
    <row r="28" spans="1:7" x14ac:dyDescent="0.2">
      <c r="A28" s="151" t="str">
        <f>A150</f>
        <v>3.5.4. Consumos</v>
      </c>
      <c r="B28" s="396"/>
      <c r="C28" s="146"/>
      <c r="D28" s="146"/>
      <c r="E28" s="147">
        <f>F166</f>
        <v>6828.8688000000011</v>
      </c>
      <c r="F28" s="148">
        <f t="shared" si="0"/>
        <v>0.46132949460628181</v>
      </c>
    </row>
    <row r="29" spans="1:7" x14ac:dyDescent="0.2">
      <c r="A29" s="151" t="str">
        <f>A168</f>
        <v>3.5.5. Manutenção</v>
      </c>
      <c r="B29" s="396"/>
      <c r="C29" s="146"/>
      <c r="D29" s="146"/>
      <c r="E29" s="147">
        <f>F171</f>
        <v>175.68</v>
      </c>
      <c r="F29" s="148">
        <f t="shared" si="0"/>
        <v>1.1868197791767733E-2</v>
      </c>
    </row>
    <row r="30" spans="1:7" x14ac:dyDescent="0.2">
      <c r="A30" s="151" t="str">
        <f>A172</f>
        <v>3.5.6. Pneus</v>
      </c>
      <c r="B30" s="396"/>
      <c r="C30" s="146"/>
      <c r="D30" s="146"/>
      <c r="E30" s="147">
        <f>F179</f>
        <v>185.09185236772419</v>
      </c>
      <c r="F30" s="148">
        <f t="shared" si="0"/>
        <v>1.2504022731926363E-2</v>
      </c>
    </row>
    <row r="31" spans="1:7" s="107" customFormat="1" x14ac:dyDescent="0.2">
      <c r="A31" s="149" t="str">
        <f>A184</f>
        <v>4. Ferramentas e Materiais de Consumo</v>
      </c>
      <c r="B31" s="395"/>
      <c r="C31" s="141"/>
      <c r="D31" s="141"/>
      <c r="E31" s="142">
        <f>+F194</f>
        <v>19.890395888741445</v>
      </c>
      <c r="F31" s="143">
        <f t="shared" si="0"/>
        <v>1.3437110232476504E-3</v>
      </c>
      <c r="G31" s="129"/>
    </row>
    <row r="32" spans="1:7" s="107" customFormat="1" x14ac:dyDescent="0.2">
      <c r="A32" s="149" t="str">
        <f>A196</f>
        <v>5. Monitoramento da Frota</v>
      </c>
      <c r="B32" s="395"/>
      <c r="C32" s="141"/>
      <c r="D32" s="141"/>
      <c r="E32" s="142">
        <f>+F205</f>
        <v>33.211161002901285</v>
      </c>
      <c r="F32" s="143">
        <f t="shared" si="0"/>
        <v>2.24360557648381E-3</v>
      </c>
      <c r="G32" s="129"/>
    </row>
    <row r="33" spans="1:7" s="107" customFormat="1" ht="16.5" thickBot="1" x14ac:dyDescent="0.25">
      <c r="A33" s="149" t="str">
        <f>A209</f>
        <v>6. Benefícios e Despesas Indiretas - BDI</v>
      </c>
      <c r="B33" s="395"/>
      <c r="C33" s="141"/>
      <c r="D33" s="141"/>
      <c r="E33" s="153">
        <f>+F215</f>
        <v>2651.3905150906353</v>
      </c>
      <c r="F33" s="143">
        <f t="shared" si="0"/>
        <v>0.17911672960105074</v>
      </c>
      <c r="G33" s="129"/>
    </row>
    <row r="34" spans="1:7" ht="15.75" customHeight="1" thickBot="1" x14ac:dyDescent="0.25">
      <c r="A34" s="154" t="s">
        <v>334</v>
      </c>
      <c r="B34" s="397"/>
      <c r="C34" s="156"/>
      <c r="D34" s="156"/>
      <c r="E34" s="157">
        <f>E17+E22+E23+E31+E32+E33</f>
        <v>14802.58444309538</v>
      </c>
      <c r="F34" s="158">
        <f>F17+F22+F23+F31+F32+F33</f>
        <v>0.99999999999999989</v>
      </c>
    </row>
    <row r="36" spans="1:7" ht="16.5" thickBot="1" x14ac:dyDescent="0.25"/>
    <row r="37" spans="1:7" ht="15" customHeight="1" thickBot="1" x14ac:dyDescent="0.25">
      <c r="A37" s="463" t="s">
        <v>95</v>
      </c>
      <c r="B37" s="464"/>
      <c r="C37" s="464"/>
      <c r="D37" s="464"/>
      <c r="E37" s="465"/>
    </row>
    <row r="38" spans="1:7" ht="15" customHeight="1" x14ac:dyDescent="0.2">
      <c r="A38" s="541" t="s">
        <v>40</v>
      </c>
      <c r="B38" s="542"/>
      <c r="C38" s="542"/>
      <c r="D38" s="543"/>
      <c r="E38" s="303" t="s">
        <v>41</v>
      </c>
    </row>
    <row r="39" spans="1:7" ht="15" customHeight="1" x14ac:dyDescent="0.2">
      <c r="A39" s="293" t="str">
        <f>+A55</f>
        <v>1.3. Motorista Turno do Dia</v>
      </c>
      <c r="B39" s="177"/>
      <c r="C39" s="177"/>
      <c r="D39" s="32"/>
      <c r="E39" s="159">
        <f>C66</f>
        <v>1</v>
      </c>
    </row>
    <row r="40" spans="1:7" ht="15" customHeight="1" x14ac:dyDescent="0.2">
      <c r="A40" s="294" t="s">
        <v>333</v>
      </c>
      <c r="B40" s="292"/>
      <c r="C40" s="292"/>
      <c r="D40" s="32"/>
      <c r="E40" s="295">
        <f>SUM(E39:E39)</f>
        <v>1</v>
      </c>
    </row>
    <row r="41" spans="1:7" ht="15" customHeight="1" x14ac:dyDescent="0.2">
      <c r="A41" s="294"/>
      <c r="B41" s="292"/>
      <c r="C41" s="177"/>
      <c r="D41" s="177"/>
      <c r="E41" s="296"/>
    </row>
    <row r="42" spans="1:7" ht="15" customHeight="1" x14ac:dyDescent="0.2">
      <c r="A42" s="544" t="s">
        <v>57</v>
      </c>
      <c r="B42" s="545"/>
      <c r="C42" s="545"/>
      <c r="D42" s="546"/>
      <c r="E42" s="302" t="s">
        <v>41</v>
      </c>
      <c r="F42" s="98"/>
    </row>
    <row r="43" spans="1:7" ht="15" customHeight="1" x14ac:dyDescent="0.2">
      <c r="A43" s="293" t="str">
        <f>+A108</f>
        <v>3.5. Estacão de transbordo com capacidade mínima de 11,333 ton/dia.</v>
      </c>
      <c r="B43" s="177"/>
      <c r="C43" s="177"/>
      <c r="D43" s="32"/>
      <c r="E43" s="159">
        <f>C123</f>
        <v>1</v>
      </c>
      <c r="F43" s="98"/>
    </row>
    <row r="44" spans="1:7" ht="15" customHeight="1" x14ac:dyDescent="0.2">
      <c r="A44" s="144"/>
      <c r="B44" s="146"/>
      <c r="C44" s="146"/>
      <c r="D44" s="456"/>
      <c r="E44" s="159"/>
      <c r="F44" s="98"/>
    </row>
    <row r="45" spans="1:7" ht="15" customHeight="1" x14ac:dyDescent="0.2">
      <c r="A45" s="544" t="s">
        <v>385</v>
      </c>
      <c r="B45" s="545"/>
      <c r="C45" s="545"/>
      <c r="D45" s="546"/>
      <c r="E45" s="302" t="s">
        <v>41</v>
      </c>
      <c r="F45" s="98"/>
    </row>
    <row r="46" spans="1:7" ht="15" customHeight="1" x14ac:dyDescent="0.2">
      <c r="A46" s="405" t="s">
        <v>559</v>
      </c>
      <c r="B46" s="406"/>
      <c r="C46" s="406"/>
      <c r="D46" s="406"/>
      <c r="E46" s="159">
        <v>1</v>
      </c>
      <c r="F46" s="98"/>
    </row>
    <row r="47" spans="1:7" ht="15" customHeight="1" x14ac:dyDescent="0.2">
      <c r="A47" s="405" t="s">
        <v>560</v>
      </c>
      <c r="B47" s="406"/>
      <c r="C47" s="406"/>
      <c r="D47" s="406"/>
      <c r="E47" s="159">
        <v>2</v>
      </c>
      <c r="F47" s="98"/>
    </row>
    <row r="48" spans="1:7" ht="15" customHeight="1" thickBot="1" x14ac:dyDescent="0.25">
      <c r="A48" s="297"/>
      <c r="B48" s="298"/>
      <c r="C48" s="298"/>
      <c r="D48" s="111"/>
      <c r="E48" s="295">
        <f>SUM(E46:E47)</f>
        <v>3</v>
      </c>
      <c r="F48" s="98"/>
    </row>
    <row r="49" spans="1:12" ht="16.5" thickBot="1" x14ac:dyDescent="0.25">
      <c r="A49" s="160"/>
      <c r="B49" s="160"/>
      <c r="C49" s="160"/>
      <c r="D49" s="98"/>
      <c r="E49" s="163"/>
      <c r="F49" s="98"/>
    </row>
    <row r="50" spans="1:12" s="107" customFormat="1" ht="16.5" thickBot="1" x14ac:dyDescent="0.25">
      <c r="A50" s="164" t="s">
        <v>297</v>
      </c>
      <c r="B50" s="346">
        <v>0.2727</v>
      </c>
      <c r="C50" s="128"/>
      <c r="E50" s="165"/>
      <c r="G50" s="129"/>
    </row>
    <row r="51" spans="1:12" x14ac:dyDescent="0.2">
      <c r="A51" s="520"/>
      <c r="B51" s="520"/>
      <c r="C51" s="520"/>
      <c r="D51" s="520"/>
      <c r="E51" s="520"/>
      <c r="F51" s="520"/>
    </row>
    <row r="52" spans="1:12" ht="13.15" customHeight="1" x14ac:dyDescent="0.2">
      <c r="A52" s="505" t="s">
        <v>48</v>
      </c>
      <c r="B52" s="505"/>
      <c r="C52" s="505"/>
      <c r="D52" s="505"/>
      <c r="E52" s="505"/>
      <c r="F52" s="505"/>
    </row>
    <row r="53" spans="1:12" ht="11.25" customHeight="1" x14ac:dyDescent="0.2">
      <c r="A53" s="467"/>
      <c r="B53" s="467"/>
      <c r="C53" s="467"/>
      <c r="D53" s="467"/>
      <c r="E53" s="467"/>
      <c r="F53" s="467"/>
    </row>
    <row r="54" spans="1:12" s="130" customFormat="1" ht="11.25" customHeight="1" x14ac:dyDescent="0.2">
      <c r="A54" s="467"/>
      <c r="B54" s="467"/>
      <c r="C54" s="467"/>
      <c r="D54" s="467"/>
      <c r="E54" s="467"/>
      <c r="F54" s="467"/>
      <c r="H54" s="98"/>
      <c r="I54" s="98"/>
      <c r="J54" s="98"/>
    </row>
    <row r="55" spans="1:12" s="130" customFormat="1" ht="16.5" thickBot="1" x14ac:dyDescent="0.25">
      <c r="A55" s="495" t="s">
        <v>99</v>
      </c>
      <c r="B55" s="495"/>
      <c r="C55" s="495"/>
      <c r="D55" s="495"/>
      <c r="E55" s="495"/>
      <c r="F55" s="495"/>
      <c r="H55" s="98"/>
      <c r="I55" s="98"/>
      <c r="J55" s="98"/>
    </row>
    <row r="56" spans="1:12" ht="13.15" customHeight="1" thickBot="1" x14ac:dyDescent="0.25">
      <c r="A56" s="166" t="s">
        <v>65</v>
      </c>
      <c r="B56" s="167" t="s">
        <v>66</v>
      </c>
      <c r="C56" s="167" t="s">
        <v>41</v>
      </c>
      <c r="D56" s="168" t="s">
        <v>227</v>
      </c>
      <c r="E56" s="168" t="s">
        <v>67</v>
      </c>
      <c r="F56" s="169" t="s">
        <v>300</v>
      </c>
    </row>
    <row r="57" spans="1:12" x14ac:dyDescent="0.2">
      <c r="A57" s="251" t="s">
        <v>209</v>
      </c>
      <c r="B57" s="37" t="s">
        <v>7</v>
      </c>
      <c r="C57" s="37">
        <v>1</v>
      </c>
      <c r="D57" s="170">
        <v>2030.35</v>
      </c>
      <c r="E57" s="171">
        <f>C57*D57</f>
        <v>2030.35</v>
      </c>
      <c r="F57" s="252"/>
      <c r="H57" s="377"/>
      <c r="I57" s="362"/>
      <c r="J57" s="363"/>
      <c r="K57" s="363"/>
      <c r="L57" s="381"/>
    </row>
    <row r="58" spans="1:12" x14ac:dyDescent="0.2">
      <c r="A58" s="251" t="s">
        <v>210</v>
      </c>
      <c r="B58" s="37" t="s">
        <v>7</v>
      </c>
      <c r="C58" s="37">
        <v>1</v>
      </c>
      <c r="D58" s="170">
        <v>1320</v>
      </c>
      <c r="E58" s="171"/>
      <c r="F58" s="252"/>
      <c r="H58" s="377"/>
      <c r="I58" s="362"/>
      <c r="J58" s="363"/>
      <c r="K58" s="363"/>
      <c r="L58" s="381"/>
    </row>
    <row r="59" spans="1:12" x14ac:dyDescent="0.2">
      <c r="A59" s="31" t="s">
        <v>35</v>
      </c>
      <c r="B59" s="25" t="s">
        <v>0</v>
      </c>
      <c r="C59" s="172">
        <v>0</v>
      </c>
      <c r="D59" s="173">
        <f>D57/220*2</f>
        <v>18.457727272727272</v>
      </c>
      <c r="E59" s="173">
        <f>C59*D59</f>
        <v>0</v>
      </c>
      <c r="F59" s="252"/>
      <c r="H59" s="377"/>
      <c r="I59" s="362"/>
      <c r="J59" s="363"/>
      <c r="K59" s="363"/>
      <c r="L59" s="381"/>
    </row>
    <row r="60" spans="1:12" x14ac:dyDescent="0.2">
      <c r="A60" s="31" t="s">
        <v>212</v>
      </c>
      <c r="B60" s="25" t="s">
        <v>34</v>
      </c>
      <c r="D60" s="173">
        <f>63/302*(SUM(E59:E59))</f>
        <v>0</v>
      </c>
      <c r="E60" s="173">
        <f>D60</f>
        <v>0</v>
      </c>
      <c r="F60" s="252"/>
      <c r="H60" s="377"/>
      <c r="I60" s="362"/>
      <c r="J60" s="363"/>
      <c r="K60" s="363"/>
      <c r="L60" s="381"/>
    </row>
    <row r="61" spans="1:12" x14ac:dyDescent="0.2">
      <c r="A61" s="31" t="s">
        <v>208</v>
      </c>
      <c r="B61" s="25"/>
      <c r="C61" s="180">
        <v>1</v>
      </c>
      <c r="D61" s="173"/>
      <c r="E61" s="173"/>
      <c r="F61" s="252"/>
      <c r="H61" s="377"/>
      <c r="L61" s="381"/>
    </row>
    <row r="62" spans="1:12" x14ac:dyDescent="0.2">
      <c r="A62" s="31" t="s">
        <v>1</v>
      </c>
      <c r="B62" s="25" t="s">
        <v>2</v>
      </c>
      <c r="C62" s="454">
        <v>20</v>
      </c>
      <c r="D62" s="174">
        <f>IF(C61=2,SUM(E57:E58),IF(C61=1,(SUM(E57:E58))*D58/D57,0))</f>
        <v>1320</v>
      </c>
      <c r="E62" s="173">
        <f>C62*D62/100</f>
        <v>264</v>
      </c>
      <c r="F62" s="252"/>
      <c r="L62" s="381"/>
    </row>
    <row r="63" spans="1:12" s="107" customFormat="1" x14ac:dyDescent="0.2">
      <c r="A63" s="523" t="s">
        <v>302</v>
      </c>
      <c r="B63" s="524"/>
      <c r="C63" s="524"/>
      <c r="D63" s="525"/>
      <c r="E63" s="181">
        <f>SUM(E57:E62)</f>
        <v>2294.35</v>
      </c>
      <c r="F63" s="258"/>
      <c r="G63" s="129"/>
      <c r="L63" s="382"/>
    </row>
    <row r="64" spans="1:12" x14ac:dyDescent="0.2">
      <c r="A64" s="31" t="s">
        <v>3</v>
      </c>
      <c r="B64" s="25" t="s">
        <v>2</v>
      </c>
      <c r="C64" s="176">
        <f>'2.Encargos Sociais'!$C$34*100</f>
        <v>75.06</v>
      </c>
      <c r="D64" s="173">
        <f>E63</f>
        <v>2294.35</v>
      </c>
      <c r="E64" s="173">
        <f>D64*C64/100</f>
        <v>1722.1391099999998</v>
      </c>
      <c r="F64" s="252"/>
      <c r="L64" s="381"/>
    </row>
    <row r="65" spans="1:12" s="107" customFormat="1" x14ac:dyDescent="0.2">
      <c r="A65" s="523" t="s">
        <v>305</v>
      </c>
      <c r="B65" s="524"/>
      <c r="C65" s="524"/>
      <c r="D65" s="525"/>
      <c r="E65" s="181">
        <f>E63+E64</f>
        <v>4016.4891099999995</v>
      </c>
      <c r="F65" s="258"/>
      <c r="G65" s="129"/>
      <c r="L65" s="382"/>
    </row>
    <row r="66" spans="1:12" x14ac:dyDescent="0.2">
      <c r="A66" s="31" t="s">
        <v>4</v>
      </c>
      <c r="B66" s="25" t="s">
        <v>5</v>
      </c>
      <c r="C66" s="30">
        <v>1</v>
      </c>
      <c r="D66" s="173">
        <f>E65</f>
        <v>4016.4891099999995</v>
      </c>
      <c r="E66" s="173">
        <f>C66*D66</f>
        <v>4016.4891099999995</v>
      </c>
      <c r="F66" s="252"/>
      <c r="L66" s="381"/>
    </row>
    <row r="67" spans="1:12" ht="16.5" thickBot="1" x14ac:dyDescent="0.25">
      <c r="A67" s="535" t="str">
        <f>F56</f>
        <v>Total (R$)</v>
      </c>
      <c r="B67" s="536"/>
      <c r="C67" s="537"/>
      <c r="D67" s="299" t="s">
        <v>301</v>
      </c>
      <c r="E67" s="347">
        <f>$B$50</f>
        <v>0.2727</v>
      </c>
      <c r="F67" s="211">
        <f>E66*E67</f>
        <v>1095.2965802969998</v>
      </c>
      <c r="L67" s="381"/>
    </row>
    <row r="68" spans="1:12" ht="11.25" customHeight="1" x14ac:dyDescent="0.2">
      <c r="A68" s="527"/>
      <c r="B68" s="527"/>
      <c r="C68" s="527"/>
      <c r="D68" s="527"/>
      <c r="E68" s="527"/>
      <c r="F68" s="527"/>
      <c r="L68" s="381"/>
    </row>
    <row r="69" spans="1:12" ht="11.25" customHeight="1" x14ac:dyDescent="0.2">
      <c r="A69" s="467"/>
      <c r="B69" s="467"/>
      <c r="C69" s="467"/>
      <c r="D69" s="467"/>
      <c r="E69" s="467"/>
      <c r="F69" s="467"/>
      <c r="G69" s="98"/>
      <c r="L69" s="381"/>
    </row>
    <row r="70" spans="1:12" ht="16.5" thickBot="1" x14ac:dyDescent="0.25">
      <c r="A70" s="495" t="s">
        <v>417</v>
      </c>
      <c r="B70" s="495"/>
      <c r="C70" s="495"/>
      <c r="D70" s="495"/>
      <c r="E70" s="495"/>
      <c r="F70" s="495"/>
      <c r="G70" s="98"/>
      <c r="L70" s="381"/>
    </row>
    <row r="71" spans="1:12" ht="16.5" thickBot="1" x14ac:dyDescent="0.25">
      <c r="A71" s="166" t="s">
        <v>65</v>
      </c>
      <c r="B71" s="167" t="s">
        <v>66</v>
      </c>
      <c r="C71" s="167" t="s">
        <v>41</v>
      </c>
      <c r="D71" s="168" t="s">
        <v>227</v>
      </c>
      <c r="E71" s="168" t="s">
        <v>67</v>
      </c>
      <c r="F71" s="169" t="s">
        <v>300</v>
      </c>
      <c r="G71" s="98"/>
      <c r="L71" s="381"/>
    </row>
    <row r="72" spans="1:12" x14ac:dyDescent="0.2">
      <c r="A72" s="31" t="s">
        <v>91</v>
      </c>
      <c r="B72" s="25" t="s">
        <v>34</v>
      </c>
      <c r="C72" s="182">
        <v>1</v>
      </c>
      <c r="D72" s="262">
        <v>4.7804021471743408</v>
      </c>
      <c r="E72" s="214"/>
      <c r="F72" s="259"/>
      <c r="H72" s="377"/>
      <c r="I72" s="362"/>
      <c r="J72" s="363"/>
      <c r="K72" s="363"/>
      <c r="L72" s="381"/>
    </row>
    <row r="73" spans="1:12" x14ac:dyDescent="0.2">
      <c r="A73" s="31" t="s">
        <v>92</v>
      </c>
      <c r="B73" s="25" t="s">
        <v>93</v>
      </c>
      <c r="C73" s="263">
        <v>24</v>
      </c>
      <c r="D73" s="173"/>
      <c r="E73" s="214"/>
      <c r="F73" s="260"/>
      <c r="G73" s="98"/>
      <c r="L73" s="381"/>
    </row>
    <row r="74" spans="1:12" x14ac:dyDescent="0.2">
      <c r="A74" s="251" t="s">
        <v>45</v>
      </c>
      <c r="B74" s="37" t="s">
        <v>8</v>
      </c>
      <c r="C74" s="183">
        <f>$C$73*2*(C66)</f>
        <v>48</v>
      </c>
      <c r="D74" s="171">
        <f>IFERROR((($C$73*2*$D$72)-(E57*0.06))/($C$73*2),"-")</f>
        <v>2.2424646471743412</v>
      </c>
      <c r="E74" s="215">
        <f>IFERROR(C74*D74,"-")</f>
        <v>107.63830306436839</v>
      </c>
      <c r="F74" s="260"/>
      <c r="G74" s="98"/>
      <c r="L74" s="381"/>
    </row>
    <row r="75" spans="1:12" ht="16.5" thickBot="1" x14ac:dyDescent="0.25">
      <c r="A75" s="538" t="str">
        <f>F71</f>
        <v>Total (R$)</v>
      </c>
      <c r="B75" s="539"/>
      <c r="C75" s="539"/>
      <c r="D75" s="539"/>
      <c r="E75" s="540"/>
      <c r="F75" s="264">
        <f>SUM(E74:E74)</f>
        <v>107.63830306436839</v>
      </c>
      <c r="G75" s="98"/>
      <c r="L75" s="381"/>
    </row>
    <row r="76" spans="1:12" ht="11.25" customHeight="1" x14ac:dyDescent="0.2">
      <c r="A76" s="527"/>
      <c r="B76" s="527"/>
      <c r="C76" s="527"/>
      <c r="D76" s="527"/>
      <c r="E76" s="527"/>
      <c r="F76" s="527"/>
      <c r="G76" s="98"/>
      <c r="L76" s="381"/>
    </row>
    <row r="77" spans="1:12" ht="16.5" thickBot="1" x14ac:dyDescent="0.25">
      <c r="A77" s="495" t="s">
        <v>418</v>
      </c>
      <c r="B77" s="495"/>
      <c r="C77" s="495"/>
      <c r="D77" s="495"/>
      <c r="E77" s="495"/>
      <c r="F77" s="495"/>
      <c r="G77" s="98"/>
      <c r="L77" s="381"/>
    </row>
    <row r="78" spans="1:12" ht="16.5" thickBot="1" x14ac:dyDescent="0.25">
      <c r="A78" s="166" t="s">
        <v>65</v>
      </c>
      <c r="B78" s="167" t="s">
        <v>66</v>
      </c>
      <c r="C78" s="167" t="s">
        <v>41</v>
      </c>
      <c r="D78" s="168" t="s">
        <v>227</v>
      </c>
      <c r="E78" s="168" t="s">
        <v>67</v>
      </c>
      <c r="F78" s="169" t="s">
        <v>300</v>
      </c>
      <c r="G78" s="98"/>
      <c r="L78" s="381"/>
    </row>
    <row r="79" spans="1:12" x14ac:dyDescent="0.2">
      <c r="A79" s="31" t="str">
        <f>+A74</f>
        <v>Motorista</v>
      </c>
      <c r="B79" s="25" t="s">
        <v>9</v>
      </c>
      <c r="C79" s="184">
        <f>C73*(E39)</f>
        <v>24</v>
      </c>
      <c r="D79" s="185">
        <v>18.2</v>
      </c>
      <c r="E79" s="216">
        <f>C79*D79</f>
        <v>436.79999999999995</v>
      </c>
      <c r="F79" s="261"/>
      <c r="H79" s="377"/>
      <c r="I79" s="362"/>
      <c r="J79" s="363"/>
      <c r="K79" s="363"/>
      <c r="L79" s="381"/>
    </row>
    <row r="80" spans="1:12" ht="16.5" thickBot="1" x14ac:dyDescent="0.25">
      <c r="A80" s="538" t="str">
        <f>F78</f>
        <v>Total (R$)</v>
      </c>
      <c r="B80" s="539"/>
      <c r="C80" s="539"/>
      <c r="D80" s="539"/>
      <c r="E80" s="540"/>
      <c r="F80" s="264">
        <f>SUM(E79:E79)</f>
        <v>436.79999999999995</v>
      </c>
      <c r="G80" s="360"/>
      <c r="L80" s="381"/>
    </row>
    <row r="81" spans="1:12" x14ac:dyDescent="0.2">
      <c r="A81" s="527"/>
      <c r="B81" s="527"/>
      <c r="C81" s="527"/>
      <c r="D81" s="527"/>
      <c r="E81" s="527"/>
      <c r="F81" s="527"/>
      <c r="G81" s="360"/>
      <c r="L81" s="381"/>
    </row>
    <row r="82" spans="1:12" ht="16.5" thickBot="1" x14ac:dyDescent="0.25">
      <c r="A82" s="495" t="s">
        <v>419</v>
      </c>
      <c r="B82" s="495"/>
      <c r="C82" s="495"/>
      <c r="D82" s="495"/>
      <c r="E82" s="495"/>
      <c r="F82" s="495"/>
      <c r="G82" s="98"/>
      <c r="L82" s="381"/>
    </row>
    <row r="83" spans="1:12" ht="16.5" thickBot="1" x14ac:dyDescent="0.25">
      <c r="A83" s="166" t="s">
        <v>65</v>
      </c>
      <c r="B83" s="167" t="s">
        <v>66</v>
      </c>
      <c r="C83" s="167" t="s">
        <v>41</v>
      </c>
      <c r="D83" s="168" t="s">
        <v>227</v>
      </c>
      <c r="E83" s="168" t="s">
        <v>67</v>
      </c>
      <c r="F83" s="169" t="s">
        <v>300</v>
      </c>
      <c r="G83" s="98"/>
      <c r="L83" s="381"/>
    </row>
    <row r="84" spans="1:12" x14ac:dyDescent="0.2">
      <c r="A84" s="31" t="str">
        <f>+A79</f>
        <v>Motorista</v>
      </c>
      <c r="B84" s="25" t="s">
        <v>9</v>
      </c>
      <c r="C84" s="184">
        <f>E39</f>
        <v>1</v>
      </c>
      <c r="D84" s="367">
        <v>113.11797309399398</v>
      </c>
      <c r="E84" s="216">
        <f>C84*D84</f>
        <v>113.11797309399398</v>
      </c>
      <c r="F84" s="261"/>
      <c r="H84" s="377"/>
      <c r="I84" s="362"/>
      <c r="J84" s="363"/>
      <c r="K84" s="363"/>
      <c r="L84" s="381"/>
    </row>
    <row r="85" spans="1:12" ht="16.5" thickBot="1" x14ac:dyDescent="0.25">
      <c r="A85" s="538" t="str">
        <f>F83</f>
        <v>Total (R$)</v>
      </c>
      <c r="B85" s="539"/>
      <c r="C85" s="540"/>
      <c r="D85" s="299" t="s">
        <v>301</v>
      </c>
      <c r="E85" s="348">
        <f>$B$50</f>
        <v>0.2727</v>
      </c>
      <c r="F85" s="264">
        <f>SUM(E84:E84)*E85</f>
        <v>30.847271262732157</v>
      </c>
      <c r="G85" s="98"/>
      <c r="L85" s="381"/>
    </row>
    <row r="86" spans="1:12" ht="16.5" thickBot="1" x14ac:dyDescent="0.25">
      <c r="G86" s="98"/>
      <c r="L86" s="381"/>
    </row>
    <row r="87" spans="1:12" ht="16.5" thickBot="1" x14ac:dyDescent="0.25">
      <c r="A87" s="217" t="s">
        <v>306</v>
      </c>
      <c r="B87" s="218"/>
      <c r="C87" s="218"/>
      <c r="D87" s="156"/>
      <c r="E87" s="156"/>
      <c r="F87" s="219">
        <f>F85+F80+F75+F67</f>
        <v>1670.5821546241002</v>
      </c>
      <c r="G87" s="360"/>
      <c r="L87" s="381"/>
    </row>
    <row r="88" spans="1:12" x14ac:dyDescent="0.2">
      <c r="A88" s="527"/>
      <c r="B88" s="527"/>
      <c r="C88" s="527"/>
      <c r="D88" s="527"/>
      <c r="E88" s="527"/>
      <c r="F88" s="527"/>
      <c r="G88" s="98"/>
      <c r="L88" s="381"/>
    </row>
    <row r="89" spans="1:12" x14ac:dyDescent="0.2">
      <c r="A89" s="505" t="s">
        <v>46</v>
      </c>
      <c r="B89" s="505"/>
      <c r="C89" s="505"/>
      <c r="D89" s="505"/>
      <c r="E89" s="505"/>
      <c r="F89" s="505"/>
      <c r="G89" s="98"/>
      <c r="L89" s="381"/>
    </row>
    <row r="90" spans="1:12" ht="11.25" customHeight="1" x14ac:dyDescent="0.2">
      <c r="A90" s="467"/>
      <c r="B90" s="467"/>
      <c r="C90" s="467"/>
      <c r="D90" s="467"/>
      <c r="E90" s="467"/>
      <c r="F90" s="467"/>
      <c r="G90" s="98"/>
      <c r="L90" s="381"/>
    </row>
    <row r="91" spans="1:12" ht="13.9" customHeight="1" x14ac:dyDescent="0.2">
      <c r="A91" s="526" t="s">
        <v>311</v>
      </c>
      <c r="B91" s="526"/>
      <c r="C91" s="526"/>
      <c r="D91" s="526"/>
      <c r="E91" s="526"/>
      <c r="F91" s="526"/>
      <c r="L91" s="381"/>
    </row>
    <row r="92" spans="1:12" ht="11.25" customHeight="1" thickBot="1" x14ac:dyDescent="0.25">
      <c r="A92" s="468"/>
      <c r="B92" s="468"/>
      <c r="C92" s="468"/>
      <c r="D92" s="468"/>
      <c r="E92" s="468"/>
      <c r="F92" s="468"/>
      <c r="G92" s="98"/>
      <c r="L92" s="381"/>
    </row>
    <row r="93" spans="1:12" ht="32.25" thickBot="1" x14ac:dyDescent="0.25">
      <c r="A93" s="166" t="s">
        <v>65</v>
      </c>
      <c r="B93" s="167" t="s">
        <v>66</v>
      </c>
      <c r="C93" s="190" t="s">
        <v>239</v>
      </c>
      <c r="D93" s="168" t="s">
        <v>227</v>
      </c>
      <c r="E93" s="168" t="s">
        <v>67</v>
      </c>
      <c r="F93" s="169" t="s">
        <v>300</v>
      </c>
      <c r="G93" s="98"/>
      <c r="L93" s="381"/>
    </row>
    <row r="94" spans="1:12" x14ac:dyDescent="0.2">
      <c r="A94" s="251" t="s">
        <v>68</v>
      </c>
      <c r="B94" s="37" t="s">
        <v>9</v>
      </c>
      <c r="C94" s="191">
        <v>12</v>
      </c>
      <c r="D94" s="170">
        <v>98.4</v>
      </c>
      <c r="E94" s="171">
        <f>IFERROR(D94/C94,0)</f>
        <v>8.2000000000000011</v>
      </c>
      <c r="F94" s="259"/>
      <c r="H94" s="377"/>
      <c r="I94" s="362"/>
      <c r="J94" s="363"/>
      <c r="K94" s="363"/>
      <c r="L94" s="381"/>
    </row>
    <row r="95" spans="1:12" x14ac:dyDescent="0.2">
      <c r="A95" s="31" t="s">
        <v>29</v>
      </c>
      <c r="B95" s="25" t="s">
        <v>9</v>
      </c>
      <c r="C95" s="191">
        <v>2</v>
      </c>
      <c r="D95" s="170">
        <v>50.42</v>
      </c>
      <c r="E95" s="171">
        <f t="shared" ref="E95:E99" si="1">IFERROR(D95/C95,0)</f>
        <v>25.21</v>
      </c>
      <c r="F95" s="260"/>
      <c r="H95" s="377"/>
      <c r="I95" s="362"/>
      <c r="J95" s="363"/>
      <c r="K95" s="363"/>
      <c r="L95" s="381"/>
    </row>
    <row r="96" spans="1:12" x14ac:dyDescent="0.2">
      <c r="A96" s="31" t="s">
        <v>30</v>
      </c>
      <c r="B96" s="25" t="s">
        <v>9</v>
      </c>
      <c r="C96" s="191">
        <v>2</v>
      </c>
      <c r="D96" s="170">
        <v>22.4</v>
      </c>
      <c r="E96" s="171">
        <f t="shared" si="1"/>
        <v>11.2</v>
      </c>
      <c r="F96" s="260"/>
      <c r="H96" s="377"/>
      <c r="I96" s="362"/>
      <c r="J96" s="363"/>
      <c r="K96" s="363"/>
      <c r="L96" s="381"/>
    </row>
    <row r="97" spans="1:12" x14ac:dyDescent="0.2">
      <c r="A97" s="31" t="s">
        <v>70</v>
      </c>
      <c r="B97" s="25" t="s">
        <v>49</v>
      </c>
      <c r="C97" s="191">
        <v>2</v>
      </c>
      <c r="D97" s="170">
        <v>65.290000000000006</v>
      </c>
      <c r="E97" s="171">
        <f t="shared" si="1"/>
        <v>32.645000000000003</v>
      </c>
      <c r="F97" s="260"/>
      <c r="H97" s="377"/>
      <c r="I97" s="362"/>
      <c r="J97" s="363"/>
      <c r="K97" s="363"/>
      <c r="L97" s="381"/>
    </row>
    <row r="98" spans="1:12" x14ac:dyDescent="0.2">
      <c r="A98" s="31" t="s">
        <v>69</v>
      </c>
      <c r="B98" s="25" t="s">
        <v>9</v>
      </c>
      <c r="C98" s="191">
        <v>2</v>
      </c>
      <c r="D98" s="170">
        <v>20.66</v>
      </c>
      <c r="E98" s="171">
        <f t="shared" si="1"/>
        <v>10.33</v>
      </c>
      <c r="F98" s="260"/>
      <c r="H98" s="377"/>
      <c r="I98" s="362"/>
      <c r="J98" s="363"/>
      <c r="K98" s="363"/>
      <c r="L98" s="381"/>
    </row>
    <row r="99" spans="1:12" x14ac:dyDescent="0.2">
      <c r="A99" s="31" t="s">
        <v>64</v>
      </c>
      <c r="B99" s="25" t="s">
        <v>50</v>
      </c>
      <c r="C99" s="191">
        <v>1</v>
      </c>
      <c r="D99" s="170">
        <v>24.44</v>
      </c>
      <c r="E99" s="171">
        <f t="shared" si="1"/>
        <v>24.44</v>
      </c>
      <c r="F99" s="260"/>
      <c r="H99" s="377"/>
      <c r="I99" s="362"/>
      <c r="J99" s="363"/>
      <c r="K99" s="363"/>
      <c r="L99" s="381"/>
    </row>
    <row r="100" spans="1:12" x14ac:dyDescent="0.2">
      <c r="A100" s="31" t="s">
        <v>193</v>
      </c>
      <c r="B100" s="25" t="s">
        <v>120</v>
      </c>
      <c r="C100" s="192">
        <v>1</v>
      </c>
      <c r="D100" s="170">
        <v>82.46</v>
      </c>
      <c r="E100" s="173">
        <f t="shared" ref="E100:E101" si="2">C100*D100</f>
        <v>82.46</v>
      </c>
      <c r="F100" s="260"/>
      <c r="H100" s="377"/>
      <c r="I100" s="362"/>
      <c r="J100" s="363"/>
      <c r="K100" s="363"/>
      <c r="L100" s="381"/>
    </row>
    <row r="101" spans="1:12" x14ac:dyDescent="0.2">
      <c r="A101" s="31" t="s">
        <v>4</v>
      </c>
      <c r="B101" s="25" t="s">
        <v>5</v>
      </c>
      <c r="C101" s="192">
        <f>E39</f>
        <v>1</v>
      </c>
      <c r="D101" s="173">
        <f>+SUM(E94:E100)</f>
        <v>194.48499999999999</v>
      </c>
      <c r="E101" s="173">
        <f t="shared" si="2"/>
        <v>194.48499999999999</v>
      </c>
      <c r="F101" s="260"/>
      <c r="G101" s="98"/>
      <c r="L101" s="381"/>
    </row>
    <row r="102" spans="1:12" ht="16.5" thickBot="1" x14ac:dyDescent="0.25">
      <c r="A102" s="509" t="str">
        <f>F93</f>
        <v>Total (R$)</v>
      </c>
      <c r="B102" s="510"/>
      <c r="C102" s="511"/>
      <c r="D102" s="257" t="s">
        <v>301</v>
      </c>
      <c r="E102" s="349">
        <f>$B$50</f>
        <v>0.2727</v>
      </c>
      <c r="F102" s="211">
        <f>E101*E102</f>
        <v>53.036059499999993</v>
      </c>
      <c r="G102" s="98"/>
      <c r="L102" s="381"/>
    </row>
    <row r="103" spans="1:12" ht="11.25" customHeight="1" thickBot="1" x14ac:dyDescent="0.25">
      <c r="G103" s="98"/>
      <c r="L103" s="381"/>
    </row>
    <row r="104" spans="1:12" ht="16.5" thickBot="1" x14ac:dyDescent="0.25">
      <c r="A104" s="217" t="s">
        <v>194</v>
      </c>
      <c r="B104" s="271"/>
      <c r="C104" s="271"/>
      <c r="D104" s="272"/>
      <c r="E104" s="272"/>
      <c r="F104" s="178">
        <f>F102</f>
        <v>53.036059499999993</v>
      </c>
      <c r="G104" s="98"/>
      <c r="L104" s="381"/>
    </row>
    <row r="105" spans="1:12" ht="11.25" customHeight="1" x14ac:dyDescent="0.2">
      <c r="G105" s="98"/>
      <c r="L105" s="381"/>
    </row>
    <row r="106" spans="1:12" x14ac:dyDescent="0.2">
      <c r="A106" s="107" t="s">
        <v>55</v>
      </c>
      <c r="G106" s="98"/>
      <c r="L106" s="381"/>
    </row>
    <row r="107" spans="1:12" ht="11.25" customHeight="1" x14ac:dyDescent="0.2">
      <c r="B107" s="193"/>
      <c r="G107" s="98"/>
      <c r="L107" s="381"/>
    </row>
    <row r="108" spans="1:12" x14ac:dyDescent="0.2">
      <c r="A108" s="212" t="s">
        <v>545</v>
      </c>
      <c r="G108" s="98"/>
      <c r="L108" s="381"/>
    </row>
    <row r="109" spans="1:12" ht="11.25" customHeight="1" x14ac:dyDescent="0.2">
      <c r="G109" s="98"/>
      <c r="L109" s="381"/>
    </row>
    <row r="110" spans="1:12" ht="16.5" thickBot="1" x14ac:dyDescent="0.25">
      <c r="A110" s="221" t="s">
        <v>502</v>
      </c>
      <c r="G110" s="98"/>
      <c r="L110" s="381"/>
    </row>
    <row r="111" spans="1:12" ht="16.5" thickBot="1" x14ac:dyDescent="0.25">
      <c r="A111" s="166" t="s">
        <v>65</v>
      </c>
      <c r="B111" s="167" t="s">
        <v>66</v>
      </c>
      <c r="C111" s="167" t="s">
        <v>41</v>
      </c>
      <c r="D111" s="168" t="s">
        <v>227</v>
      </c>
      <c r="E111" s="168" t="s">
        <v>67</v>
      </c>
      <c r="F111" s="169" t="s">
        <v>300</v>
      </c>
      <c r="G111" s="98"/>
      <c r="L111" s="381"/>
    </row>
    <row r="112" spans="1:12" x14ac:dyDescent="0.2">
      <c r="A112" s="251" t="s">
        <v>312</v>
      </c>
      <c r="B112" s="37" t="s">
        <v>9</v>
      </c>
      <c r="C112" s="37">
        <v>2</v>
      </c>
      <c r="D112" s="170">
        <v>63350</v>
      </c>
      <c r="E112" s="215">
        <f>C112*D112</f>
        <v>126700</v>
      </c>
      <c r="F112" s="259"/>
      <c r="H112" s="377"/>
      <c r="I112" s="362"/>
      <c r="J112" s="363"/>
      <c r="K112" s="363"/>
      <c r="L112" s="381"/>
    </row>
    <row r="113" spans="1:12" x14ac:dyDescent="0.2">
      <c r="A113" s="31" t="s">
        <v>313</v>
      </c>
      <c r="B113" s="25" t="s">
        <v>102</v>
      </c>
      <c r="C113" s="30">
        <v>3</v>
      </c>
      <c r="D113" s="174"/>
      <c r="E113" s="214"/>
      <c r="F113" s="260"/>
      <c r="G113" s="98"/>
      <c r="L113" s="381"/>
    </row>
    <row r="114" spans="1:12" x14ac:dyDescent="0.2">
      <c r="A114" s="31" t="s">
        <v>314</v>
      </c>
      <c r="B114" s="25" t="s">
        <v>102</v>
      </c>
      <c r="C114" s="30">
        <v>0</v>
      </c>
      <c r="D114" s="173"/>
      <c r="E114" s="214"/>
      <c r="F114" s="273"/>
      <c r="I114" s="194"/>
      <c r="J114" s="194"/>
      <c r="K114" s="194"/>
      <c r="L114" s="381"/>
    </row>
    <row r="115" spans="1:12" x14ac:dyDescent="0.2">
      <c r="A115" s="31" t="s">
        <v>315</v>
      </c>
      <c r="B115" s="25" t="s">
        <v>2</v>
      </c>
      <c r="C115" s="176">
        <f>IFERROR(VLOOKUP(C113,'5. Depreciação'!A3:B17,2,FALSE),0)</f>
        <v>48.68</v>
      </c>
      <c r="D115" s="173">
        <f>E112</f>
        <v>126700</v>
      </c>
      <c r="E115" s="214">
        <f>C115*D115/100</f>
        <v>61677.56</v>
      </c>
      <c r="F115" s="260"/>
      <c r="L115" s="381"/>
    </row>
    <row r="116" spans="1:12" ht="16.5" thickBot="1" x14ac:dyDescent="0.25">
      <c r="A116" s="274" t="s">
        <v>316</v>
      </c>
      <c r="B116" s="195" t="s">
        <v>7</v>
      </c>
      <c r="C116" s="195">
        <f>C113*12</f>
        <v>36</v>
      </c>
      <c r="D116" s="196">
        <f>IF(C114&lt;=C113,E115,0)</f>
        <v>61677.56</v>
      </c>
      <c r="E116" s="222">
        <f>IFERROR(D116/C116,0)</f>
        <v>1713.2655555555555</v>
      </c>
      <c r="F116" s="260"/>
      <c r="L116" s="381"/>
    </row>
    <row r="117" spans="1:12" ht="16.5" thickTop="1" x14ac:dyDescent="0.2">
      <c r="A117" s="251" t="s">
        <v>317</v>
      </c>
      <c r="B117" s="37" t="s">
        <v>9</v>
      </c>
      <c r="C117" s="37">
        <v>1</v>
      </c>
      <c r="D117" s="370">
        <v>325000</v>
      </c>
      <c r="E117" s="215">
        <f>C117*D117</f>
        <v>325000</v>
      </c>
      <c r="F117" s="260"/>
      <c r="H117" s="377"/>
      <c r="I117" s="362"/>
      <c r="J117" s="363"/>
      <c r="K117" s="363"/>
      <c r="L117" s="381"/>
    </row>
    <row r="118" spans="1:12" x14ac:dyDescent="0.2">
      <c r="A118" s="31" t="s">
        <v>318</v>
      </c>
      <c r="B118" s="25" t="s">
        <v>102</v>
      </c>
      <c r="C118" s="30">
        <v>3</v>
      </c>
      <c r="D118" s="173"/>
      <c r="E118" s="214"/>
      <c r="F118" s="260"/>
      <c r="L118" s="381"/>
    </row>
    <row r="119" spans="1:12" x14ac:dyDescent="0.2">
      <c r="A119" s="31" t="s">
        <v>319</v>
      </c>
      <c r="B119" s="25" t="s">
        <v>102</v>
      </c>
      <c r="C119" s="30">
        <v>0</v>
      </c>
      <c r="D119" s="173"/>
      <c r="E119" s="214"/>
      <c r="F119" s="273"/>
      <c r="I119" s="194"/>
      <c r="J119" s="194"/>
      <c r="K119" s="194"/>
      <c r="L119" s="381"/>
    </row>
    <row r="120" spans="1:12" x14ac:dyDescent="0.2">
      <c r="A120" s="31" t="s">
        <v>320</v>
      </c>
      <c r="B120" s="25" t="s">
        <v>2</v>
      </c>
      <c r="C120" s="197">
        <f>IFERROR(VLOOKUP(C118,'5. Depreciação'!A3:B17,2,FALSE),0)</f>
        <v>48.68</v>
      </c>
      <c r="D120" s="173">
        <f>E117</f>
        <v>325000</v>
      </c>
      <c r="E120" s="214">
        <f>C120*D120/100</f>
        <v>158210</v>
      </c>
      <c r="F120" s="260"/>
      <c r="L120" s="381"/>
    </row>
    <row r="121" spans="1:12" x14ac:dyDescent="0.2">
      <c r="A121" s="275" t="s">
        <v>321</v>
      </c>
      <c r="B121" s="120" t="s">
        <v>7</v>
      </c>
      <c r="C121" s="120">
        <f>C118*12</f>
        <v>36</v>
      </c>
      <c r="D121" s="181">
        <f>IF(C119&lt;=C118,E120,0)</f>
        <v>158210</v>
      </c>
      <c r="E121" s="223">
        <f>IFERROR(D121/C121,0)</f>
        <v>4394.7222222222226</v>
      </c>
      <c r="F121" s="260"/>
      <c r="L121" s="381"/>
    </row>
    <row r="122" spans="1:12" x14ac:dyDescent="0.2">
      <c r="A122" s="276" t="s">
        <v>322</v>
      </c>
      <c r="B122" s="277"/>
      <c r="C122" s="277"/>
      <c r="D122" s="278"/>
      <c r="E122" s="224">
        <f>E116+E121</f>
        <v>6107.9877777777783</v>
      </c>
      <c r="F122" s="260"/>
      <c r="L122" s="381"/>
    </row>
    <row r="123" spans="1:12" x14ac:dyDescent="0.2">
      <c r="A123" s="275" t="s">
        <v>330</v>
      </c>
      <c r="B123" s="120" t="s">
        <v>9</v>
      </c>
      <c r="C123" s="30">
        <v>1</v>
      </c>
      <c r="D123" s="181">
        <f>E122</f>
        <v>6107.9877777777783</v>
      </c>
      <c r="E123" s="224">
        <f>C123*D123</f>
        <v>6107.9877777777783</v>
      </c>
      <c r="F123" s="260"/>
      <c r="L123" s="381"/>
    </row>
    <row r="124" spans="1:12" ht="16.5" thickBot="1" x14ac:dyDescent="0.25">
      <c r="A124" s="506" t="str">
        <f>F111</f>
        <v>Total (R$)</v>
      </c>
      <c r="B124" s="507"/>
      <c r="C124" s="508"/>
      <c r="D124" s="257" t="s">
        <v>301</v>
      </c>
      <c r="E124" s="350">
        <f>$B$50</f>
        <v>0.2727</v>
      </c>
      <c r="F124" s="211">
        <f>(E123*E124)*1.08</f>
        <v>1798.9001283600001</v>
      </c>
      <c r="L124" s="381"/>
    </row>
    <row r="125" spans="1:12" ht="11.25" customHeight="1" x14ac:dyDescent="0.2">
      <c r="L125" s="381"/>
    </row>
    <row r="126" spans="1:12" ht="16.5" thickBot="1" x14ac:dyDescent="0.25">
      <c r="A126" s="221" t="s">
        <v>503</v>
      </c>
      <c r="L126" s="381"/>
    </row>
    <row r="127" spans="1:12" ht="16.5" thickBot="1" x14ac:dyDescent="0.25">
      <c r="A127" s="166" t="s">
        <v>65</v>
      </c>
      <c r="B127" s="167" t="s">
        <v>66</v>
      </c>
      <c r="C127" s="167" t="s">
        <v>41</v>
      </c>
      <c r="D127" s="168" t="s">
        <v>227</v>
      </c>
      <c r="E127" s="168" t="s">
        <v>67</v>
      </c>
      <c r="F127" s="169" t="s">
        <v>300</v>
      </c>
      <c r="I127" s="194"/>
      <c r="J127" s="194"/>
      <c r="K127" s="194"/>
      <c r="L127" s="381"/>
    </row>
    <row r="128" spans="1:12" x14ac:dyDescent="0.2">
      <c r="A128" s="251" t="s">
        <v>323</v>
      </c>
      <c r="B128" s="37" t="s">
        <v>9</v>
      </c>
      <c r="C128" s="37">
        <v>2</v>
      </c>
      <c r="D128" s="171">
        <f>D112</f>
        <v>63350</v>
      </c>
      <c r="E128" s="215">
        <f>C128*D128</f>
        <v>126700</v>
      </c>
      <c r="F128" s="279"/>
      <c r="I128" s="194"/>
      <c r="J128" s="194"/>
      <c r="K128" s="194"/>
      <c r="L128" s="381"/>
    </row>
    <row r="129" spans="1:12" x14ac:dyDescent="0.2">
      <c r="A129" s="31" t="s">
        <v>205</v>
      </c>
      <c r="B129" s="25" t="s">
        <v>2</v>
      </c>
      <c r="C129" s="30">
        <v>13.75</v>
      </c>
      <c r="D129" s="173"/>
      <c r="E129" s="214"/>
      <c r="F129" s="273"/>
      <c r="I129" s="194"/>
      <c r="J129" s="194"/>
      <c r="K129" s="194"/>
      <c r="L129" s="381"/>
    </row>
    <row r="130" spans="1:12" x14ac:dyDescent="0.2">
      <c r="A130" s="31" t="s">
        <v>324</v>
      </c>
      <c r="B130" s="25" t="s">
        <v>34</v>
      </c>
      <c r="C130" s="198">
        <f>IFERROR(IF(C114&lt;=C113,E112-(C115/(100*C113)*C114)*E112,E112-E115),0)</f>
        <v>126700</v>
      </c>
      <c r="D130" s="173"/>
      <c r="E130" s="214"/>
      <c r="F130" s="273"/>
      <c r="I130" s="194"/>
      <c r="J130" s="194"/>
      <c r="K130" s="194"/>
      <c r="L130" s="381"/>
    </row>
    <row r="131" spans="1:12" x14ac:dyDescent="0.2">
      <c r="A131" s="31" t="s">
        <v>325</v>
      </c>
      <c r="B131" s="25" t="s">
        <v>34</v>
      </c>
      <c r="C131" s="174">
        <f>IFERROR(IF(C114&gt;=C113,C130,((((C130)-(E112-E115))*(((C113-C114)+1)/(2*(C113-C114))))+(E112-E115))),0)</f>
        <v>106140.81333333332</v>
      </c>
      <c r="D131" s="173"/>
      <c r="E131" s="214"/>
      <c r="F131" s="273"/>
      <c r="I131" s="194"/>
      <c r="J131" s="194"/>
      <c r="K131" s="194"/>
      <c r="L131" s="381"/>
    </row>
    <row r="132" spans="1:12" ht="16.5" thickBot="1" x14ac:dyDescent="0.25">
      <c r="A132" s="274" t="s">
        <v>114</v>
      </c>
      <c r="B132" s="195" t="s">
        <v>34</v>
      </c>
      <c r="C132" s="195"/>
      <c r="D132" s="199">
        <f>C129*C131/12/100</f>
        <v>1216.1968194444444</v>
      </c>
      <c r="E132" s="222">
        <f>D132</f>
        <v>1216.1968194444444</v>
      </c>
      <c r="F132" s="273"/>
      <c r="I132" s="194"/>
      <c r="J132" s="194"/>
      <c r="K132" s="194"/>
      <c r="L132" s="381"/>
    </row>
    <row r="133" spans="1:12" ht="16.5" thickTop="1" x14ac:dyDescent="0.2">
      <c r="A133" s="251" t="s">
        <v>326</v>
      </c>
      <c r="B133" s="37" t="s">
        <v>9</v>
      </c>
      <c r="C133" s="37">
        <f>C117</f>
        <v>1</v>
      </c>
      <c r="D133" s="171">
        <f>D117</f>
        <v>325000</v>
      </c>
      <c r="E133" s="215">
        <f>C133*D133</f>
        <v>325000</v>
      </c>
      <c r="F133" s="273"/>
      <c r="I133" s="194"/>
      <c r="J133" s="194"/>
      <c r="K133" s="194"/>
      <c r="L133" s="381"/>
    </row>
    <row r="134" spans="1:12" x14ac:dyDescent="0.2">
      <c r="A134" s="31" t="s">
        <v>205</v>
      </c>
      <c r="B134" s="25" t="s">
        <v>2</v>
      </c>
      <c r="C134" s="30">
        <v>13.75</v>
      </c>
      <c r="D134" s="173"/>
      <c r="E134" s="214"/>
      <c r="F134" s="273"/>
      <c r="I134" s="194"/>
      <c r="J134" s="194"/>
      <c r="K134" s="194"/>
      <c r="L134" s="381"/>
    </row>
    <row r="135" spans="1:12" x14ac:dyDescent="0.2">
      <c r="A135" s="31" t="s">
        <v>327</v>
      </c>
      <c r="B135" s="25" t="s">
        <v>34</v>
      </c>
      <c r="C135" s="198">
        <f>IFERROR(IF(C119&lt;=C118,E117-(C120/(100*C118)*C119)*E117,E117-E120),0)</f>
        <v>325000</v>
      </c>
      <c r="D135" s="173"/>
      <c r="E135" s="214"/>
      <c r="F135" s="273"/>
      <c r="I135" s="194"/>
      <c r="J135" s="194"/>
      <c r="K135" s="194"/>
      <c r="L135" s="381"/>
    </row>
    <row r="136" spans="1:12" x14ac:dyDescent="0.2">
      <c r="A136" s="31" t="s">
        <v>328</v>
      </c>
      <c r="B136" s="25" t="s">
        <v>34</v>
      </c>
      <c r="C136" s="174">
        <f>IFERROR(IF(C119&gt;=C118,C135,((((C135)-(E117-E120))*(((C118-C119)+1)/(2*(C118-C119))))+(E117-E120))),0)</f>
        <v>272263.33333333331</v>
      </c>
      <c r="D136" s="173"/>
      <c r="E136" s="214"/>
      <c r="F136" s="273"/>
      <c r="I136" s="194"/>
      <c r="J136" s="194"/>
      <c r="K136" s="194"/>
      <c r="L136" s="381"/>
    </row>
    <row r="137" spans="1:12" x14ac:dyDescent="0.2">
      <c r="A137" s="275" t="s">
        <v>329</v>
      </c>
      <c r="B137" s="120" t="s">
        <v>34</v>
      </c>
      <c r="C137" s="120"/>
      <c r="D137" s="200">
        <f>C134*C136/12/100</f>
        <v>3119.6840277777774</v>
      </c>
      <c r="E137" s="223">
        <f>D137</f>
        <v>3119.6840277777774</v>
      </c>
      <c r="F137" s="273"/>
      <c r="I137" s="194"/>
      <c r="J137" s="194"/>
      <c r="K137" s="194"/>
      <c r="L137" s="381"/>
    </row>
    <row r="138" spans="1:12" x14ac:dyDescent="0.2">
      <c r="A138" s="276" t="s">
        <v>322</v>
      </c>
      <c r="B138" s="277"/>
      <c r="C138" s="277"/>
      <c r="D138" s="278"/>
      <c r="E138" s="224">
        <f>E132+E137</f>
        <v>4335.8808472222217</v>
      </c>
      <c r="F138" s="273"/>
      <c r="I138" s="194"/>
      <c r="J138" s="194"/>
      <c r="K138" s="194"/>
      <c r="L138" s="381"/>
    </row>
    <row r="139" spans="1:12" x14ac:dyDescent="0.2">
      <c r="A139" s="275" t="str">
        <f>A123</f>
        <v>Total da estação de transbordo</v>
      </c>
      <c r="B139" s="120" t="s">
        <v>9</v>
      </c>
      <c r="C139" s="25">
        <f>C123</f>
        <v>1</v>
      </c>
      <c r="D139" s="181">
        <f>E138</f>
        <v>4335.8808472222217</v>
      </c>
      <c r="E139" s="224">
        <f>C139*D139</f>
        <v>4335.8808472222217</v>
      </c>
      <c r="F139" s="273"/>
      <c r="I139" s="194"/>
      <c r="J139" s="194"/>
      <c r="K139" s="194"/>
      <c r="L139" s="381"/>
    </row>
    <row r="140" spans="1:12" ht="16.5" thickBot="1" x14ac:dyDescent="0.25">
      <c r="A140" s="532" t="str">
        <f>F127</f>
        <v>Total (R$)</v>
      </c>
      <c r="B140" s="533"/>
      <c r="C140" s="534"/>
      <c r="D140" s="257" t="s">
        <v>301</v>
      </c>
      <c r="E140" s="350">
        <f>$B$50</f>
        <v>0.2727</v>
      </c>
      <c r="F140" s="211">
        <f>(E139*E140)*1.08</f>
        <v>1276.9862836004997</v>
      </c>
      <c r="I140" s="194"/>
      <c r="J140" s="194"/>
      <c r="K140" s="194"/>
      <c r="L140" s="381"/>
    </row>
    <row r="141" spans="1:12" ht="11.25" customHeight="1" x14ac:dyDescent="0.2">
      <c r="I141" s="194"/>
      <c r="J141" s="194"/>
      <c r="K141" s="194"/>
      <c r="L141" s="381"/>
    </row>
    <row r="142" spans="1:12" ht="16.5" thickBot="1" x14ac:dyDescent="0.25">
      <c r="A142" s="220" t="s">
        <v>504</v>
      </c>
      <c r="I142" s="194"/>
      <c r="J142" s="194"/>
      <c r="K142" s="194"/>
      <c r="L142" s="381"/>
    </row>
    <row r="143" spans="1:12" ht="16.5" thickBot="1" x14ac:dyDescent="0.25">
      <c r="A143" s="166" t="s">
        <v>65</v>
      </c>
      <c r="B143" s="167" t="s">
        <v>66</v>
      </c>
      <c r="C143" s="167" t="s">
        <v>41</v>
      </c>
      <c r="D143" s="168" t="s">
        <v>227</v>
      </c>
      <c r="E143" s="168" t="s">
        <v>67</v>
      </c>
      <c r="F143" s="169" t="s">
        <v>300</v>
      </c>
      <c r="I143" s="194"/>
      <c r="J143" s="194"/>
      <c r="K143" s="194"/>
      <c r="L143" s="381"/>
    </row>
    <row r="144" spans="1:12" x14ac:dyDescent="0.2">
      <c r="A144" s="251" t="s">
        <v>11</v>
      </c>
      <c r="B144" s="37" t="s">
        <v>9</v>
      </c>
      <c r="C144" s="171">
        <v>1</v>
      </c>
      <c r="D144" s="171">
        <v>249.94674083797273</v>
      </c>
      <c r="E144" s="171">
        <f>C144*D144</f>
        <v>249.94674083797273</v>
      </c>
      <c r="F144" s="259"/>
      <c r="H144" s="377"/>
      <c r="I144" s="362"/>
      <c r="J144" s="363"/>
      <c r="K144" s="363"/>
      <c r="L144" s="381"/>
    </row>
    <row r="145" spans="1:12" x14ac:dyDescent="0.2">
      <c r="A145" s="31" t="s">
        <v>192</v>
      </c>
      <c r="B145" s="25" t="s">
        <v>9</v>
      </c>
      <c r="C145" s="171">
        <v>1</v>
      </c>
      <c r="D145" s="185">
        <f>66.7+5.78</f>
        <v>72.48</v>
      </c>
      <c r="E145" s="173">
        <f>C145*D145</f>
        <v>72.48</v>
      </c>
      <c r="F145" s="260"/>
      <c r="H145" s="377"/>
      <c r="I145" s="362"/>
      <c r="J145" s="363"/>
      <c r="K145" s="363"/>
      <c r="L145" s="381"/>
    </row>
    <row r="146" spans="1:12" x14ac:dyDescent="0.2">
      <c r="A146" s="31" t="s">
        <v>12</v>
      </c>
      <c r="B146" s="25" t="s">
        <v>9</v>
      </c>
      <c r="C146" s="171">
        <v>1</v>
      </c>
      <c r="D146" s="185">
        <v>4471.724751385369</v>
      </c>
      <c r="E146" s="173">
        <f>C146*D146</f>
        <v>4471.724751385369</v>
      </c>
      <c r="F146" s="280"/>
      <c r="H146" s="377"/>
      <c r="I146" s="362"/>
      <c r="J146" s="363"/>
      <c r="K146" s="363"/>
      <c r="L146" s="381"/>
    </row>
    <row r="147" spans="1:12" x14ac:dyDescent="0.2">
      <c r="A147" s="275" t="s">
        <v>13</v>
      </c>
      <c r="B147" s="120" t="s">
        <v>7</v>
      </c>
      <c r="C147" s="120">
        <v>12</v>
      </c>
      <c r="D147" s="181">
        <f>SUM(E144:E146)</f>
        <v>4794.1514922233418</v>
      </c>
      <c r="E147" s="181">
        <f>D147/C147</f>
        <v>399.51262435194514</v>
      </c>
      <c r="F147" s="260"/>
      <c r="I147" s="194"/>
      <c r="J147" s="194"/>
      <c r="K147" s="194"/>
      <c r="L147" s="381"/>
    </row>
    <row r="148" spans="1:12" ht="16.5" thickBot="1" x14ac:dyDescent="0.25">
      <c r="A148" s="509" t="str">
        <f>F143</f>
        <v>Total (R$)</v>
      </c>
      <c r="B148" s="510"/>
      <c r="C148" s="511"/>
      <c r="D148" s="257" t="s">
        <v>301</v>
      </c>
      <c r="E148" s="349">
        <f>$B$50</f>
        <v>0.2727</v>
      </c>
      <c r="F148" s="211">
        <f>E147*E148</f>
        <v>108.94709266077544</v>
      </c>
      <c r="I148" s="194"/>
      <c r="J148" s="194"/>
      <c r="K148" s="194"/>
      <c r="L148" s="381"/>
    </row>
    <row r="149" spans="1:12" ht="11.25" customHeight="1" x14ac:dyDescent="0.2">
      <c r="I149" s="194"/>
      <c r="J149" s="194"/>
      <c r="K149" s="194"/>
      <c r="L149" s="381"/>
    </row>
    <row r="150" spans="1:12" x14ac:dyDescent="0.2">
      <c r="A150" s="220" t="s">
        <v>505</v>
      </c>
      <c r="B150" s="201"/>
      <c r="I150" s="194"/>
      <c r="J150" s="194"/>
      <c r="K150" s="194"/>
      <c r="L150" s="381"/>
    </row>
    <row r="151" spans="1:12" ht="16.5" thickBot="1" x14ac:dyDescent="0.25">
      <c r="B151" s="201"/>
      <c r="I151" s="194"/>
      <c r="J151" s="194"/>
      <c r="K151" s="194"/>
      <c r="L151" s="381"/>
    </row>
    <row r="152" spans="1:12" ht="16.5" thickBot="1" x14ac:dyDescent="0.25">
      <c r="A152" s="186" t="s">
        <v>388</v>
      </c>
      <c r="B152" s="225">
        <v>144</v>
      </c>
      <c r="I152" s="194"/>
      <c r="J152" s="194"/>
      <c r="K152" s="194"/>
      <c r="L152" s="381"/>
    </row>
    <row r="153" spans="1:12" ht="16.5" thickBot="1" x14ac:dyDescent="0.25">
      <c r="B153" s="201"/>
      <c r="I153" s="194"/>
      <c r="J153" s="194"/>
      <c r="K153" s="194"/>
      <c r="L153" s="381"/>
    </row>
    <row r="154" spans="1:12" ht="16.5" thickBot="1" x14ac:dyDescent="0.25">
      <c r="A154" s="166" t="s">
        <v>65</v>
      </c>
      <c r="B154" s="167" t="s">
        <v>66</v>
      </c>
      <c r="C154" s="167" t="s">
        <v>389</v>
      </c>
      <c r="D154" s="168" t="s">
        <v>227</v>
      </c>
      <c r="E154" s="168" t="s">
        <v>67</v>
      </c>
      <c r="F154" s="169" t="s">
        <v>300</v>
      </c>
      <c r="I154" s="194"/>
      <c r="J154" s="194"/>
      <c r="K154" s="194"/>
      <c r="L154" s="381"/>
    </row>
    <row r="155" spans="1:12" x14ac:dyDescent="0.2">
      <c r="A155" s="409" t="s">
        <v>390</v>
      </c>
      <c r="B155" s="410" t="s">
        <v>391</v>
      </c>
      <c r="C155" s="411">
        <v>8</v>
      </c>
      <c r="D155" s="378">
        <v>5.81</v>
      </c>
      <c r="E155" s="413"/>
      <c r="F155" s="259"/>
      <c r="H155" s="377"/>
      <c r="I155" s="362"/>
      <c r="J155" s="363"/>
      <c r="K155" s="363"/>
      <c r="L155" s="381"/>
    </row>
    <row r="156" spans="1:12" x14ac:dyDescent="0.2">
      <c r="A156" s="31" t="s">
        <v>16</v>
      </c>
      <c r="B156" s="25" t="s">
        <v>392</v>
      </c>
      <c r="C156" s="182">
        <f>SUM(B152)</f>
        <v>144</v>
      </c>
      <c r="D156" s="414">
        <f>IFERROR(+D155*C155,"-")</f>
        <v>46.48</v>
      </c>
      <c r="E156" s="173">
        <f>IFERROR(C156*D156,"-")</f>
        <v>6693.12</v>
      </c>
      <c r="F156" s="260"/>
      <c r="G156" s="364"/>
      <c r="I156" s="194"/>
      <c r="J156" s="194"/>
      <c r="K156" s="194"/>
      <c r="L156" s="381"/>
    </row>
    <row r="157" spans="1:12" x14ac:dyDescent="0.2">
      <c r="A157" s="31" t="s">
        <v>393</v>
      </c>
      <c r="B157" s="25" t="s">
        <v>394</v>
      </c>
      <c r="C157" s="415">
        <v>6</v>
      </c>
      <c r="D157" s="185">
        <v>25</v>
      </c>
      <c r="E157" s="173"/>
      <c r="F157" s="260"/>
      <c r="H157" s="377"/>
      <c r="I157" s="362"/>
      <c r="J157" s="363"/>
      <c r="K157" s="363"/>
      <c r="L157" s="381"/>
    </row>
    <row r="158" spans="1:12" x14ac:dyDescent="0.2">
      <c r="A158" s="31" t="s">
        <v>19</v>
      </c>
      <c r="B158" s="25" t="s">
        <v>392</v>
      </c>
      <c r="C158" s="182">
        <f>C156</f>
        <v>144</v>
      </c>
      <c r="D158" s="414">
        <f>+C157*D157/1000</f>
        <v>0.15</v>
      </c>
      <c r="E158" s="173">
        <f>C158*D158</f>
        <v>21.599999999999998</v>
      </c>
      <c r="F158" s="260"/>
      <c r="G158" s="365"/>
      <c r="I158" s="194"/>
      <c r="J158" s="194"/>
      <c r="K158" s="194"/>
      <c r="L158" s="381"/>
    </row>
    <row r="159" spans="1:12" x14ac:dyDescent="0.2">
      <c r="A159" s="31" t="s">
        <v>395</v>
      </c>
      <c r="B159" s="25" t="s">
        <v>394</v>
      </c>
      <c r="C159" s="415">
        <v>12</v>
      </c>
      <c r="D159" s="185">
        <v>46.9</v>
      </c>
      <c r="E159" s="173"/>
      <c r="F159" s="260"/>
      <c r="H159" s="377"/>
      <c r="I159" s="362"/>
      <c r="J159" s="363"/>
      <c r="K159" s="363"/>
      <c r="L159" s="381"/>
    </row>
    <row r="160" spans="1:12" x14ac:dyDescent="0.2">
      <c r="A160" s="31" t="s">
        <v>20</v>
      </c>
      <c r="B160" s="25" t="s">
        <v>392</v>
      </c>
      <c r="C160" s="182">
        <f>C156</f>
        <v>144</v>
      </c>
      <c r="D160" s="414">
        <f>+C159*D159/1000</f>
        <v>0.56279999999999997</v>
      </c>
      <c r="E160" s="173">
        <f>C160*D160</f>
        <v>81.043199999999999</v>
      </c>
      <c r="F160" s="260"/>
      <c r="G160" s="365"/>
      <c r="I160" s="194"/>
      <c r="J160" s="194"/>
      <c r="K160" s="194"/>
      <c r="L160" s="381"/>
    </row>
    <row r="161" spans="1:12" x14ac:dyDescent="0.2">
      <c r="A161" s="31" t="s">
        <v>396</v>
      </c>
      <c r="B161" s="25" t="s">
        <v>394</v>
      </c>
      <c r="C161" s="415">
        <v>18</v>
      </c>
      <c r="D161" s="185">
        <v>8.35</v>
      </c>
      <c r="E161" s="173"/>
      <c r="F161" s="260"/>
      <c r="H161" s="377"/>
      <c r="I161" s="362"/>
      <c r="J161" s="363"/>
      <c r="K161" s="363"/>
      <c r="L161" s="381"/>
    </row>
    <row r="162" spans="1:12" x14ac:dyDescent="0.2">
      <c r="A162" s="31" t="s">
        <v>21</v>
      </c>
      <c r="B162" s="25" t="s">
        <v>392</v>
      </c>
      <c r="C162" s="182">
        <f>C156</f>
        <v>144</v>
      </c>
      <c r="D162" s="414">
        <f>+C161*D161/1000</f>
        <v>0.15029999999999999</v>
      </c>
      <c r="E162" s="173">
        <f>C162*D162</f>
        <v>21.6432</v>
      </c>
      <c r="F162" s="260"/>
      <c r="G162" s="365"/>
      <c r="I162" s="194"/>
      <c r="J162" s="194"/>
      <c r="K162" s="194"/>
      <c r="L162" s="381"/>
    </row>
    <row r="163" spans="1:12" x14ac:dyDescent="0.2">
      <c r="A163" s="31" t="s">
        <v>397</v>
      </c>
      <c r="B163" s="25" t="s">
        <v>398</v>
      </c>
      <c r="C163" s="415">
        <v>4</v>
      </c>
      <c r="D163" s="185">
        <v>19.899999999999999</v>
      </c>
      <c r="E163" s="173"/>
      <c r="F163" s="260"/>
      <c r="H163" s="377"/>
      <c r="I163" s="362"/>
      <c r="J163" s="363"/>
      <c r="K163" s="363"/>
      <c r="L163" s="381"/>
    </row>
    <row r="164" spans="1:12" x14ac:dyDescent="0.2">
      <c r="A164" s="31" t="s">
        <v>24</v>
      </c>
      <c r="B164" s="25" t="s">
        <v>392</v>
      </c>
      <c r="C164" s="182">
        <f>C156</f>
        <v>144</v>
      </c>
      <c r="D164" s="414">
        <f>+C163*D163/1000</f>
        <v>7.959999999999999E-2</v>
      </c>
      <c r="E164" s="173">
        <f>C164*D164</f>
        <v>11.462399999999999</v>
      </c>
      <c r="F164" s="260"/>
      <c r="G164" s="202"/>
      <c r="I164" s="194"/>
      <c r="J164" s="194"/>
      <c r="K164" s="194"/>
      <c r="L164" s="381"/>
    </row>
    <row r="165" spans="1:12" x14ac:dyDescent="0.2">
      <c r="A165" s="275" t="s">
        <v>399</v>
      </c>
      <c r="B165" s="120" t="s">
        <v>400</v>
      </c>
      <c r="C165" s="203"/>
      <c r="D165" s="204">
        <f>IFERROR(D156+D158+D160+D162+D164,0)</f>
        <v>47.422699999999999</v>
      </c>
      <c r="E165" s="173"/>
      <c r="F165" s="260"/>
      <c r="G165" s="202"/>
      <c r="I165" s="194"/>
      <c r="J165" s="194"/>
      <c r="K165" s="194"/>
      <c r="L165" s="381"/>
    </row>
    <row r="166" spans="1:12" ht="16.5" thickBot="1" x14ac:dyDescent="0.25">
      <c r="A166" s="509" t="str">
        <f>F154</f>
        <v>Total (R$)</v>
      </c>
      <c r="B166" s="497"/>
      <c r="C166" s="497"/>
      <c r="D166" s="497"/>
      <c r="E166" s="498"/>
      <c r="F166" s="211">
        <f>SUM(E155:E164)</f>
        <v>6828.8688000000011</v>
      </c>
      <c r="I166" s="194"/>
      <c r="J166" s="194"/>
      <c r="K166" s="194"/>
      <c r="L166" s="381"/>
    </row>
    <row r="167" spans="1:12" ht="11.25" customHeight="1" x14ac:dyDescent="0.2">
      <c r="I167" s="194"/>
      <c r="J167" s="194"/>
      <c r="K167" s="194"/>
      <c r="L167" s="381"/>
    </row>
    <row r="168" spans="1:12" ht="16.5" thickBot="1" x14ac:dyDescent="0.25">
      <c r="A168" s="220" t="s">
        <v>506</v>
      </c>
      <c r="I168" s="194"/>
      <c r="J168" s="194"/>
      <c r="K168" s="194"/>
      <c r="L168" s="381"/>
    </row>
    <row r="169" spans="1:12" ht="16.5" thickBot="1" x14ac:dyDescent="0.25">
      <c r="A169" s="166" t="s">
        <v>65</v>
      </c>
      <c r="B169" s="167" t="s">
        <v>66</v>
      </c>
      <c r="C169" s="167" t="s">
        <v>41</v>
      </c>
      <c r="D169" s="168" t="s">
        <v>227</v>
      </c>
      <c r="E169" s="168" t="s">
        <v>67</v>
      </c>
      <c r="F169" s="169" t="s">
        <v>300</v>
      </c>
      <c r="I169" s="194"/>
      <c r="J169" s="194"/>
      <c r="K169" s="194"/>
      <c r="L169" s="381"/>
    </row>
    <row r="170" spans="1:12" x14ac:dyDescent="0.2">
      <c r="A170" s="251" t="s">
        <v>331</v>
      </c>
      <c r="B170" s="37" t="s">
        <v>400</v>
      </c>
      <c r="C170" s="182">
        <f>C156</f>
        <v>144</v>
      </c>
      <c r="D170" s="170">
        <v>1.22</v>
      </c>
      <c r="E170" s="215">
        <f>C170*D170</f>
        <v>175.68</v>
      </c>
      <c r="F170" s="259"/>
      <c r="H170" s="377"/>
      <c r="I170" s="362"/>
      <c r="J170" s="363"/>
      <c r="K170" s="363"/>
      <c r="L170" s="381"/>
    </row>
    <row r="171" spans="1:12" ht="16.5" thickBot="1" x14ac:dyDescent="0.25">
      <c r="A171" s="509" t="str">
        <f>F169</f>
        <v>Total (R$)</v>
      </c>
      <c r="B171" s="497"/>
      <c r="C171" s="497"/>
      <c r="D171" s="497"/>
      <c r="E171" s="498"/>
      <c r="F171" s="211">
        <f>E170</f>
        <v>175.68</v>
      </c>
      <c r="I171" s="194"/>
      <c r="J171" s="194"/>
      <c r="K171" s="194"/>
      <c r="L171" s="381"/>
    </row>
    <row r="172" spans="1:12" ht="16.5" thickBot="1" x14ac:dyDescent="0.25">
      <c r="A172" s="220" t="s">
        <v>507</v>
      </c>
      <c r="I172" s="194"/>
      <c r="J172" s="194"/>
      <c r="K172" s="194"/>
      <c r="L172" s="381"/>
    </row>
    <row r="173" spans="1:12" ht="16.5" thickBot="1" x14ac:dyDescent="0.25">
      <c r="A173" s="166" t="s">
        <v>65</v>
      </c>
      <c r="B173" s="167" t="s">
        <v>66</v>
      </c>
      <c r="C173" s="167" t="s">
        <v>41</v>
      </c>
      <c r="D173" s="168" t="s">
        <v>227</v>
      </c>
      <c r="E173" s="168" t="s">
        <v>67</v>
      </c>
      <c r="F173" s="169" t="s">
        <v>300</v>
      </c>
      <c r="I173" s="194"/>
      <c r="J173" s="194"/>
      <c r="K173" s="194"/>
      <c r="L173" s="381"/>
    </row>
    <row r="174" spans="1:12" x14ac:dyDescent="0.2">
      <c r="A174" s="251" t="s">
        <v>332</v>
      </c>
      <c r="B174" s="37" t="s">
        <v>9</v>
      </c>
      <c r="C174" s="205">
        <v>4</v>
      </c>
      <c r="D174" s="170">
        <v>6838.4</v>
      </c>
      <c r="E174" s="215">
        <f>C174*D174</f>
        <v>27353.599999999999</v>
      </c>
      <c r="F174" s="259"/>
      <c r="H174" s="377"/>
      <c r="I174" s="362"/>
      <c r="J174" s="363"/>
      <c r="K174" s="194"/>
      <c r="L174" s="381"/>
    </row>
    <row r="175" spans="1:12" x14ac:dyDescent="0.2">
      <c r="A175" s="251" t="s">
        <v>119</v>
      </c>
      <c r="B175" s="37" t="s">
        <v>9</v>
      </c>
      <c r="C175" s="205">
        <v>1</v>
      </c>
      <c r="D175" s="206"/>
      <c r="E175" s="215"/>
      <c r="F175" s="260"/>
      <c r="H175" s="377"/>
      <c r="I175" s="194"/>
      <c r="J175" s="194"/>
      <c r="K175" s="363"/>
      <c r="L175" s="381"/>
    </row>
    <row r="176" spans="1:12" x14ac:dyDescent="0.2">
      <c r="A176" s="251" t="s">
        <v>72</v>
      </c>
      <c r="B176" s="37" t="s">
        <v>9</v>
      </c>
      <c r="C176" s="171">
        <f>C174*C175</f>
        <v>4</v>
      </c>
      <c r="D176" s="170">
        <v>1195.1005367935854</v>
      </c>
      <c r="E176" s="215">
        <f>C176*D176</f>
        <v>4780.4021471743417</v>
      </c>
      <c r="F176" s="260"/>
      <c r="H176" s="377"/>
      <c r="I176" s="362"/>
      <c r="J176" s="363"/>
      <c r="K176" s="194"/>
      <c r="L176" s="381"/>
    </row>
    <row r="177" spans="1:12" x14ac:dyDescent="0.2">
      <c r="A177" s="31" t="s">
        <v>309</v>
      </c>
      <c r="B177" s="25" t="s">
        <v>25</v>
      </c>
      <c r="C177" s="207">
        <v>25000</v>
      </c>
      <c r="D177" s="173">
        <f>E174+E176</f>
        <v>32134.002147174338</v>
      </c>
      <c r="E177" s="214">
        <f>IFERROR(D177/C177,"-")</f>
        <v>1.2853600858869736</v>
      </c>
      <c r="F177" s="260"/>
      <c r="H177" s="377"/>
      <c r="I177" s="362"/>
      <c r="J177" s="363"/>
      <c r="K177" s="363"/>
      <c r="L177" s="381"/>
    </row>
    <row r="178" spans="1:12" x14ac:dyDescent="0.2">
      <c r="A178" s="31" t="s">
        <v>56</v>
      </c>
      <c r="B178" s="25" t="s">
        <v>17</v>
      </c>
      <c r="C178" s="173">
        <f>B152</f>
        <v>144</v>
      </c>
      <c r="D178" s="173">
        <f>E177</f>
        <v>1.2853600858869736</v>
      </c>
      <c r="E178" s="214">
        <f>IFERROR(C178*D178,0)</f>
        <v>185.09185236772419</v>
      </c>
      <c r="F178" s="260"/>
      <c r="I178" s="194"/>
      <c r="J178" s="194"/>
      <c r="K178" s="194"/>
      <c r="L178" s="381"/>
    </row>
    <row r="179" spans="1:12" ht="16.5" thickBot="1" x14ac:dyDescent="0.25">
      <c r="A179" s="509" t="str">
        <f>F173</f>
        <v>Total (R$)</v>
      </c>
      <c r="B179" s="510"/>
      <c r="C179" s="510"/>
      <c r="D179" s="510"/>
      <c r="E179" s="511"/>
      <c r="F179" s="211">
        <f>E178</f>
        <v>185.09185236772419</v>
      </c>
      <c r="I179" s="194"/>
      <c r="J179" s="194"/>
      <c r="K179" s="194"/>
      <c r="L179" s="381"/>
    </row>
    <row r="180" spans="1:12" ht="11.25" customHeight="1" x14ac:dyDescent="0.2">
      <c r="I180" s="194"/>
      <c r="J180" s="194"/>
      <c r="K180" s="194"/>
      <c r="L180" s="381"/>
    </row>
    <row r="181" spans="1:12" ht="11.25" customHeight="1" thickBot="1" x14ac:dyDescent="0.25">
      <c r="L181" s="381"/>
    </row>
    <row r="182" spans="1:12" ht="16.5" thickBot="1" x14ac:dyDescent="0.25">
      <c r="A182" s="217" t="s">
        <v>219</v>
      </c>
      <c r="B182" s="218"/>
      <c r="C182" s="218"/>
      <c r="D182" s="156"/>
      <c r="E182" s="156"/>
      <c r="F182" s="213">
        <f>+SUM(F112:F181)</f>
        <v>10374.474156989001</v>
      </c>
      <c r="G182" s="98"/>
      <c r="L182" s="381"/>
    </row>
    <row r="183" spans="1:12" ht="11.25" customHeight="1" x14ac:dyDescent="0.2">
      <c r="G183" s="98"/>
      <c r="L183" s="381"/>
    </row>
    <row r="184" spans="1:12" x14ac:dyDescent="0.2">
      <c r="A184" s="107" t="s">
        <v>75</v>
      </c>
      <c r="B184" s="107"/>
      <c r="C184" s="107"/>
      <c r="D184" s="128"/>
      <c r="E184" s="128"/>
      <c r="F184" s="208"/>
      <c r="G184" s="98"/>
      <c r="L184" s="381"/>
    </row>
    <row r="185" spans="1:12" ht="11.25" customHeight="1" thickBot="1" x14ac:dyDescent="0.25">
      <c r="G185" s="98"/>
      <c r="L185" s="381"/>
    </row>
    <row r="186" spans="1:12" ht="16.5" thickBot="1" x14ac:dyDescent="0.25">
      <c r="A186" s="166" t="s">
        <v>65</v>
      </c>
      <c r="B186" s="167" t="s">
        <v>66</v>
      </c>
      <c r="C186" s="167" t="s">
        <v>41</v>
      </c>
      <c r="D186" s="168" t="s">
        <v>227</v>
      </c>
      <c r="E186" s="168" t="s">
        <v>67</v>
      </c>
      <c r="F186" s="169" t="s">
        <v>300</v>
      </c>
      <c r="G186" s="98"/>
      <c r="L186" s="381"/>
    </row>
    <row r="187" spans="1:12" x14ac:dyDescent="0.2">
      <c r="A187" s="31" t="s">
        <v>73</v>
      </c>
      <c r="B187" s="25" t="s">
        <v>9</v>
      </c>
      <c r="C187" s="191">
        <v>2</v>
      </c>
      <c r="D187" s="170">
        <v>39.472463443810987</v>
      </c>
      <c r="E187" s="214">
        <f>C187*D187/12</f>
        <v>6.5787439073018312</v>
      </c>
      <c r="F187" s="279"/>
      <c r="H187" s="377"/>
      <c r="I187" s="362"/>
      <c r="J187" s="363"/>
      <c r="K187" s="363"/>
      <c r="L187" s="381"/>
    </row>
    <row r="188" spans="1:12" x14ac:dyDescent="0.2">
      <c r="A188" s="31" t="s">
        <v>27</v>
      </c>
      <c r="B188" s="25" t="s">
        <v>9</v>
      </c>
      <c r="C188" s="191">
        <v>4</v>
      </c>
      <c r="D188" s="170">
        <v>29.911659149462309</v>
      </c>
      <c r="E188" s="214">
        <f t="shared" ref="E188:E191" si="3">C188*D188/12</f>
        <v>9.9705530498207704</v>
      </c>
      <c r="F188" s="273"/>
      <c r="H188" s="377"/>
      <c r="I188" s="362"/>
      <c r="J188" s="363"/>
      <c r="K188" s="363"/>
      <c r="L188" s="381"/>
    </row>
    <row r="189" spans="1:12" x14ac:dyDescent="0.2">
      <c r="A189" s="31" t="s">
        <v>28</v>
      </c>
      <c r="B189" s="25" t="s">
        <v>9</v>
      </c>
      <c r="C189" s="191">
        <v>6</v>
      </c>
      <c r="D189" s="370">
        <v>24</v>
      </c>
      <c r="E189" s="214">
        <f t="shared" si="3"/>
        <v>12</v>
      </c>
      <c r="F189" s="273"/>
      <c r="H189" s="377"/>
      <c r="I189" s="362"/>
      <c r="J189" s="363"/>
      <c r="K189" s="363"/>
      <c r="L189" s="381"/>
    </row>
    <row r="190" spans="1:12" x14ac:dyDescent="0.2">
      <c r="A190" s="31" t="s">
        <v>58</v>
      </c>
      <c r="B190" s="25" t="s">
        <v>59</v>
      </c>
      <c r="C190" s="191">
        <v>1</v>
      </c>
      <c r="D190" s="170">
        <v>286.8241288304605</v>
      </c>
      <c r="E190" s="214">
        <f t="shared" si="3"/>
        <v>23.902010735871709</v>
      </c>
      <c r="F190" s="273"/>
      <c r="H190" s="377"/>
      <c r="I190" s="362"/>
      <c r="J190" s="363"/>
      <c r="K190" s="363"/>
      <c r="L190" s="381"/>
    </row>
    <row r="191" spans="1:12" x14ac:dyDescent="0.2">
      <c r="A191" s="31" t="s">
        <v>61</v>
      </c>
      <c r="B191" s="25" t="s">
        <v>59</v>
      </c>
      <c r="C191" s="191">
        <v>1</v>
      </c>
      <c r="D191" s="170">
        <v>245.84925328325184</v>
      </c>
      <c r="E191" s="214">
        <f t="shared" si="3"/>
        <v>20.48743777360432</v>
      </c>
      <c r="F191" s="273"/>
      <c r="H191" s="377"/>
      <c r="I191" s="362"/>
      <c r="J191" s="363"/>
      <c r="K191" s="363"/>
      <c r="L191" s="381"/>
    </row>
    <row r="192" spans="1:12" ht="16.5" thickBot="1" x14ac:dyDescent="0.25">
      <c r="A192" s="509" t="s">
        <v>337</v>
      </c>
      <c r="B192" s="510"/>
      <c r="C192" s="286"/>
      <c r="D192" s="257" t="s">
        <v>301</v>
      </c>
      <c r="E192" s="350">
        <f>$B$50</f>
        <v>0.2727</v>
      </c>
      <c r="F192" s="211">
        <f>(E187+E188+E189+E190+E191)*E192</f>
        <v>19.890395888741445</v>
      </c>
      <c r="G192" s="98"/>
      <c r="L192" s="381"/>
    </row>
    <row r="193" spans="1:12" ht="11.25" customHeight="1" thickBot="1" x14ac:dyDescent="0.25">
      <c r="G193" s="98"/>
      <c r="L193" s="381"/>
    </row>
    <row r="194" spans="1:12" ht="16.5" thickBot="1" x14ac:dyDescent="0.25">
      <c r="A194" s="528" t="s">
        <v>220</v>
      </c>
      <c r="B194" s="529"/>
      <c r="C194" s="529"/>
      <c r="D194" s="529"/>
      <c r="E194" s="529"/>
      <c r="F194" s="178">
        <f>+F192</f>
        <v>19.890395888741445</v>
      </c>
      <c r="G194" s="98"/>
      <c r="L194" s="381"/>
    </row>
    <row r="195" spans="1:12" ht="11.25" customHeight="1" x14ac:dyDescent="0.2">
      <c r="G195" s="98"/>
      <c r="L195" s="381"/>
    </row>
    <row r="196" spans="1:12" x14ac:dyDescent="0.2">
      <c r="A196" s="107" t="s">
        <v>76</v>
      </c>
      <c r="B196" s="107"/>
      <c r="C196" s="107"/>
      <c r="D196" s="128"/>
      <c r="E196" s="128"/>
      <c r="F196" s="208"/>
      <c r="L196" s="381"/>
    </row>
    <row r="197" spans="1:12" ht="11.25" customHeight="1" thickBot="1" x14ac:dyDescent="0.25">
      <c r="L197" s="381"/>
    </row>
    <row r="198" spans="1:12" ht="16.5" thickBot="1" x14ac:dyDescent="0.25">
      <c r="A198" s="166" t="s">
        <v>65</v>
      </c>
      <c r="B198" s="167" t="s">
        <v>66</v>
      </c>
      <c r="C198" s="167" t="s">
        <v>41</v>
      </c>
      <c r="D198" s="168" t="s">
        <v>227</v>
      </c>
      <c r="E198" s="168" t="s">
        <v>67</v>
      </c>
      <c r="F198" s="169" t="s">
        <v>300</v>
      </c>
      <c r="L198" s="381"/>
    </row>
    <row r="199" spans="1:12" x14ac:dyDescent="0.2">
      <c r="A199" s="31" t="s">
        <v>217</v>
      </c>
      <c r="B199" s="25" t="s">
        <v>59</v>
      </c>
      <c r="C199" s="192">
        <v>1</v>
      </c>
      <c r="D199" s="185">
        <v>1160.9548071709116</v>
      </c>
      <c r="E199" s="173">
        <f>+D199*C199</f>
        <v>1160.9548071709116</v>
      </c>
      <c r="F199" s="279"/>
      <c r="H199" s="377"/>
      <c r="I199" s="362"/>
      <c r="J199" s="363"/>
      <c r="K199" s="363"/>
      <c r="L199" s="381"/>
    </row>
    <row r="200" spans="1:12" x14ac:dyDescent="0.2">
      <c r="A200" s="31" t="s">
        <v>62</v>
      </c>
      <c r="B200" s="25" t="s">
        <v>7</v>
      </c>
      <c r="C200" s="25">
        <v>60</v>
      </c>
      <c r="D200" s="173">
        <f>SUM(E199:E199)</f>
        <v>1160.9548071709116</v>
      </c>
      <c r="E200" s="173">
        <f>+D200/C200</f>
        <v>19.349246786181862</v>
      </c>
      <c r="F200" s="273"/>
      <c r="L200" s="381"/>
    </row>
    <row r="201" spans="1:12" x14ac:dyDescent="0.2">
      <c r="A201" s="31" t="s">
        <v>218</v>
      </c>
      <c r="B201" s="25" t="s">
        <v>9</v>
      </c>
      <c r="C201" s="192">
        <f>+C199</f>
        <v>1</v>
      </c>
      <c r="D201" s="185">
        <v>102.43718886802161</v>
      </c>
      <c r="E201" s="173">
        <f>C201*D201</f>
        <v>102.43718886802161</v>
      </c>
      <c r="F201" s="273"/>
      <c r="H201" s="377"/>
      <c r="I201" s="362"/>
      <c r="J201" s="363"/>
      <c r="K201" s="363"/>
      <c r="L201" s="381"/>
    </row>
    <row r="202" spans="1:12" x14ac:dyDescent="0.2">
      <c r="A202" s="31" t="s">
        <v>38</v>
      </c>
      <c r="B202" s="25" t="s">
        <v>7</v>
      </c>
      <c r="C202" s="25">
        <v>1</v>
      </c>
      <c r="D202" s="173">
        <f>+E201</f>
        <v>102.43718886802161</v>
      </c>
      <c r="E202" s="173">
        <f>+D202/C202</f>
        <v>102.43718886802161</v>
      </c>
      <c r="F202" s="273"/>
      <c r="L202" s="381"/>
    </row>
    <row r="203" spans="1:12" ht="16.5" thickBot="1" x14ac:dyDescent="0.25">
      <c r="A203" s="509" t="str">
        <f>F198</f>
        <v>Total (R$)</v>
      </c>
      <c r="B203" s="510"/>
      <c r="C203" s="511"/>
      <c r="D203" s="257" t="s">
        <v>301</v>
      </c>
      <c r="E203" s="350">
        <f>$B$50</f>
        <v>0.2727</v>
      </c>
      <c r="F203" s="268">
        <f>(E200+E202)*E203</f>
        <v>33.211161002901285</v>
      </c>
      <c r="G203" s="98"/>
    </row>
    <row r="204" spans="1:12" s="210" customFormat="1" ht="11.25" customHeight="1" thickBot="1" x14ac:dyDescent="0.25">
      <c r="A204" s="98"/>
      <c r="B204" s="98"/>
      <c r="C204" s="98"/>
      <c r="D204" s="130"/>
      <c r="E204" s="130"/>
      <c r="F204" s="130"/>
      <c r="G204" s="98"/>
    </row>
    <row r="205" spans="1:12" ht="16.5" thickBot="1" x14ac:dyDescent="0.25">
      <c r="A205" s="528" t="s">
        <v>216</v>
      </c>
      <c r="B205" s="529"/>
      <c r="C205" s="529"/>
      <c r="D205" s="529"/>
      <c r="E205" s="529"/>
      <c r="F205" s="178">
        <f>+F203</f>
        <v>33.211161002901285</v>
      </c>
      <c r="G205" s="98"/>
    </row>
    <row r="206" spans="1:12" ht="11.25" customHeight="1" thickBot="1" x14ac:dyDescent="0.25">
      <c r="G206" s="98"/>
    </row>
    <row r="207" spans="1:12" ht="17.25" customHeight="1" thickBot="1" x14ac:dyDescent="0.25">
      <c r="A207" s="528" t="s">
        <v>221</v>
      </c>
      <c r="B207" s="529"/>
      <c r="C207" s="529"/>
      <c r="D207" s="529"/>
      <c r="E207" s="529"/>
      <c r="F207" s="300">
        <f>+F87+F104+F182+F194+F205</f>
        <v>12151.193928004745</v>
      </c>
      <c r="G207" s="98"/>
    </row>
    <row r="208" spans="1:12" ht="11.25" customHeight="1" x14ac:dyDescent="0.2">
      <c r="G208" s="360"/>
    </row>
    <row r="209" spans="1:7" x14ac:dyDescent="0.2">
      <c r="A209" s="107" t="s">
        <v>90</v>
      </c>
      <c r="G209" s="360"/>
    </row>
    <row r="210" spans="1:7" ht="11.25" customHeight="1" thickBot="1" x14ac:dyDescent="0.25">
      <c r="G210" s="360"/>
    </row>
    <row r="211" spans="1:7" ht="16.5" thickBot="1" x14ac:dyDescent="0.25">
      <c r="A211" s="166" t="s">
        <v>65</v>
      </c>
      <c r="B211" s="167" t="s">
        <v>66</v>
      </c>
      <c r="C211" s="167" t="s">
        <v>41</v>
      </c>
      <c r="D211" s="168" t="s">
        <v>227</v>
      </c>
      <c r="E211" s="168" t="s">
        <v>67</v>
      </c>
      <c r="F211" s="169" t="s">
        <v>300</v>
      </c>
      <c r="G211" s="360"/>
    </row>
    <row r="212" spans="1:7" x14ac:dyDescent="0.2">
      <c r="A212" s="251" t="s">
        <v>37</v>
      </c>
      <c r="B212" s="37" t="s">
        <v>2</v>
      </c>
      <c r="C212" s="416">
        <f>SUM('4.BDI'!B14:C14)</f>
        <v>0.21820000000000001</v>
      </c>
      <c r="D212" s="171">
        <f>+F207</f>
        <v>12151.193928004745</v>
      </c>
      <c r="E212" s="215">
        <f>C212*D212</f>
        <v>2651.3905150906353</v>
      </c>
      <c r="F212" s="259"/>
      <c r="G212" s="360"/>
    </row>
    <row r="213" spans="1:7" ht="16.5" thickBot="1" x14ac:dyDescent="0.25">
      <c r="A213" s="509" t="str">
        <f>F211</f>
        <v>Total (R$)</v>
      </c>
      <c r="B213" s="510"/>
      <c r="C213" s="510"/>
      <c r="D213" s="510"/>
      <c r="E213" s="511"/>
      <c r="F213" s="268">
        <f>+E212</f>
        <v>2651.3905150906353</v>
      </c>
      <c r="G213" s="98"/>
    </row>
    <row r="214" spans="1:7" ht="11.25" customHeight="1" thickBot="1" x14ac:dyDescent="0.25">
      <c r="G214" s="98"/>
    </row>
    <row r="215" spans="1:7" ht="16.5" thickBot="1" x14ac:dyDescent="0.25">
      <c r="A215" s="528" t="s">
        <v>232</v>
      </c>
      <c r="B215" s="529"/>
      <c r="C215" s="529"/>
      <c r="D215" s="529"/>
      <c r="E215" s="529"/>
      <c r="F215" s="300">
        <f>F213</f>
        <v>2651.3905150906353</v>
      </c>
      <c r="G215" s="98"/>
    </row>
    <row r="216" spans="1:7" x14ac:dyDescent="0.2">
      <c r="A216" s="107"/>
      <c r="B216" s="107"/>
      <c r="C216" s="107"/>
      <c r="D216" s="128"/>
      <c r="E216" s="128"/>
      <c r="F216" s="208"/>
      <c r="G216" s="98"/>
    </row>
    <row r="217" spans="1:7" ht="11.25" customHeight="1" thickBot="1" x14ac:dyDescent="0.25"/>
    <row r="218" spans="1:7" ht="16.5" thickBot="1" x14ac:dyDescent="0.25">
      <c r="A218" s="217" t="s">
        <v>222</v>
      </c>
      <c r="B218" s="271"/>
      <c r="C218" s="271"/>
      <c r="D218" s="272"/>
      <c r="E218" s="272"/>
      <c r="F218" s="300">
        <f>F207+F215</f>
        <v>14802.58444309538</v>
      </c>
    </row>
    <row r="219" spans="1:7" ht="12.6" customHeight="1" x14ac:dyDescent="0.2">
      <c r="A219" s="107"/>
      <c r="B219" s="107"/>
      <c r="C219" s="107"/>
      <c r="D219" s="128"/>
      <c r="E219" s="128"/>
      <c r="F219" s="128"/>
    </row>
    <row r="220" spans="1:7" ht="16.5" thickBot="1" x14ac:dyDescent="0.25"/>
    <row r="221" spans="1:7" ht="16.149999999999999" customHeight="1" thickBot="1" x14ac:dyDescent="0.25">
      <c r="A221" s="186" t="s">
        <v>215</v>
      </c>
      <c r="B221" s="187"/>
      <c r="C221" s="187"/>
      <c r="D221" s="245">
        <f>SUM('1.7.Destino final'!D246)</f>
        <v>340</v>
      </c>
      <c r="E221" s="189" t="s">
        <v>26</v>
      </c>
    </row>
    <row r="222" spans="1:7" ht="16.5" thickBot="1" x14ac:dyDescent="0.25"/>
    <row r="223" spans="1:7" ht="16.5" thickBot="1" x14ac:dyDescent="0.25">
      <c r="A223" s="186" t="s">
        <v>71</v>
      </c>
      <c r="B223" s="187"/>
      <c r="C223" s="187"/>
      <c r="D223" s="188"/>
      <c r="E223" s="301" t="s">
        <v>33</v>
      </c>
      <c r="F223" s="288">
        <f>IFERROR(F218/D221,"-")</f>
        <v>43.537013067927589</v>
      </c>
    </row>
    <row r="224" spans="1:7" ht="12.6" customHeight="1" x14ac:dyDescent="0.2">
      <c r="A224" s="107"/>
      <c r="B224" s="107"/>
      <c r="C224" s="107"/>
      <c r="D224" s="128"/>
      <c r="E224" s="128"/>
      <c r="F224" s="128"/>
    </row>
    <row r="225" spans="1:10" s="130" customFormat="1" ht="9.75" customHeight="1" x14ac:dyDescent="0.2">
      <c r="A225" s="129"/>
      <c r="H225" s="98"/>
      <c r="I225" s="98"/>
      <c r="J225" s="98"/>
    </row>
    <row r="226" spans="1:10" s="130" customFormat="1" ht="9.75" customHeight="1" x14ac:dyDescent="0.2">
      <c r="A226" s="129"/>
      <c r="H226" s="98"/>
      <c r="I226" s="98"/>
      <c r="J226" s="98"/>
    </row>
    <row r="227" spans="1:10" s="130" customFormat="1" ht="9.75" customHeight="1" x14ac:dyDescent="0.2">
      <c r="A227" s="129"/>
      <c r="H227" s="98"/>
      <c r="I227" s="98"/>
      <c r="J227" s="98"/>
    </row>
    <row r="257" s="98" customFormat="1" ht="9" customHeight="1" x14ac:dyDescent="0.2"/>
  </sheetData>
  <mergeCells count="54">
    <mergeCell ref="A9:F9"/>
    <mergeCell ref="A13:F13"/>
    <mergeCell ref="A7:F7"/>
    <mergeCell ref="A8:F8"/>
    <mergeCell ref="A12:F12"/>
    <mergeCell ref="A6:F6"/>
    <mergeCell ref="A1:F1"/>
    <mergeCell ref="A2:F2"/>
    <mergeCell ref="A3:F3"/>
    <mergeCell ref="A4:F4"/>
    <mergeCell ref="A5:F5"/>
    <mergeCell ref="A52:F52"/>
    <mergeCell ref="A53:F53"/>
    <mergeCell ref="A15:F15"/>
    <mergeCell ref="A22:C22"/>
    <mergeCell ref="A37:E37"/>
    <mergeCell ref="A38:D38"/>
    <mergeCell ref="A42:D42"/>
    <mergeCell ref="A51:F51"/>
    <mergeCell ref="A45:D45"/>
    <mergeCell ref="A88:F88"/>
    <mergeCell ref="A65:D65"/>
    <mergeCell ref="A68:F68"/>
    <mergeCell ref="A69:F69"/>
    <mergeCell ref="A54:F54"/>
    <mergeCell ref="A55:F55"/>
    <mergeCell ref="A63:D63"/>
    <mergeCell ref="A70:F70"/>
    <mergeCell ref="A76:F76"/>
    <mergeCell ref="A77:F77"/>
    <mergeCell ref="A81:F81"/>
    <mergeCell ref="A82:F82"/>
    <mergeCell ref="A67:C67"/>
    <mergeCell ref="A75:E75"/>
    <mergeCell ref="A80:E80"/>
    <mergeCell ref="A85:C85"/>
    <mergeCell ref="A92:F92"/>
    <mergeCell ref="A194:E194"/>
    <mergeCell ref="A89:F89"/>
    <mergeCell ref="A90:F90"/>
    <mergeCell ref="A91:F91"/>
    <mergeCell ref="A102:C102"/>
    <mergeCell ref="A124:C124"/>
    <mergeCell ref="A140:C140"/>
    <mergeCell ref="A148:C148"/>
    <mergeCell ref="A166:E166"/>
    <mergeCell ref="A171:E171"/>
    <mergeCell ref="A179:E179"/>
    <mergeCell ref="A192:B192"/>
    <mergeCell ref="A203:C203"/>
    <mergeCell ref="A205:E205"/>
    <mergeCell ref="A207:E207"/>
    <mergeCell ref="A213:E213"/>
    <mergeCell ref="A215:E215"/>
  </mergeCells>
  <hyperlinks>
    <hyperlink ref="A110" location="AbaDeprec" display="3.1.1. Depreciação" xr:uid="{00000000-0004-0000-0400-000001000000}"/>
    <hyperlink ref="A126" location="AbaRemun" display="3.1.2. Remuneração do Capital" xr:uid="{00000000-0004-0000-0400-000000000000}"/>
  </hyperlinks>
  <pageMargins left="0.9055118110236221" right="0.51181102362204722" top="0.74803149606299213" bottom="0.74803149606299213" header="0.31496062992125984" footer="0.31496062992125984"/>
  <pageSetup paperSize="9" scale="64" fitToHeight="0" orientation="portrait" r:id="rId1"/>
  <headerFooter alignWithMargins="0">
    <oddFooter>&amp;R&amp;P de &amp;N</oddFooter>
  </headerFooter>
  <rowBreaks count="4" manualBreakCount="4">
    <brk id="51" max="5" man="1"/>
    <brk id="69" max="5" man="1"/>
    <brk id="105" max="5" man="1"/>
    <brk id="171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6BC7B-8380-4AA0-945F-AC59B18D45E8}">
  <dimension ref="A1:F264"/>
  <sheetViews>
    <sheetView workbookViewId="0">
      <selection activeCell="D194" sqref="D194"/>
    </sheetView>
  </sheetViews>
  <sheetFormatPr defaultRowHeight="12.75" x14ac:dyDescent="0.2"/>
  <cols>
    <col min="1" max="1" width="54" customWidth="1"/>
    <col min="2" max="2" width="18.140625" bestFit="1" customWidth="1"/>
    <col min="3" max="3" width="13.5703125" bestFit="1" customWidth="1"/>
    <col min="4" max="4" width="18.28515625" customWidth="1"/>
    <col min="5" max="5" width="17.42578125" bestFit="1" customWidth="1"/>
    <col min="6" max="6" width="14.85546875" customWidth="1"/>
  </cols>
  <sheetData>
    <row r="1" spans="1:6" ht="15.75" x14ac:dyDescent="0.2">
      <c r="A1" s="466" t="s">
        <v>197</v>
      </c>
      <c r="B1" s="466"/>
      <c r="C1" s="466"/>
      <c r="D1" s="466"/>
      <c r="E1" s="466"/>
      <c r="F1" s="466"/>
    </row>
    <row r="2" spans="1:6" ht="15.75" x14ac:dyDescent="0.2">
      <c r="A2" s="467" t="s">
        <v>298</v>
      </c>
      <c r="B2" s="467"/>
      <c r="C2" s="467"/>
      <c r="D2" s="467"/>
      <c r="E2" s="467"/>
      <c r="F2" s="467"/>
    </row>
    <row r="3" spans="1:6" ht="15.75" x14ac:dyDescent="0.2">
      <c r="A3" s="519" t="s">
        <v>299</v>
      </c>
      <c r="B3" s="519"/>
      <c r="C3" s="519"/>
      <c r="D3" s="519"/>
      <c r="E3" s="519"/>
      <c r="F3" s="519"/>
    </row>
    <row r="4" spans="1:6" ht="16.5" thickBot="1" x14ac:dyDescent="0.25">
      <c r="A4" s="468"/>
      <c r="B4" s="468"/>
      <c r="C4" s="468"/>
      <c r="D4" s="468"/>
      <c r="E4" s="468"/>
      <c r="F4" s="468"/>
    </row>
    <row r="5" spans="1:6" ht="15.75" x14ac:dyDescent="0.2">
      <c r="A5" s="469" t="s">
        <v>551</v>
      </c>
      <c r="B5" s="470"/>
      <c r="C5" s="470"/>
      <c r="D5" s="470"/>
      <c r="E5" s="470"/>
      <c r="F5" s="471"/>
    </row>
    <row r="6" spans="1:6" ht="16.5" thickBot="1" x14ac:dyDescent="0.25">
      <c r="A6" s="547" t="s">
        <v>44</v>
      </c>
      <c r="B6" s="548"/>
      <c r="C6" s="548"/>
      <c r="D6" s="548"/>
      <c r="E6" s="548"/>
      <c r="F6" s="549"/>
    </row>
    <row r="7" spans="1:6" ht="32.25" customHeight="1" thickBot="1" x14ac:dyDescent="0.25">
      <c r="A7" s="553" t="s">
        <v>409</v>
      </c>
      <c r="B7" s="553"/>
      <c r="C7" s="553"/>
      <c r="D7" s="553"/>
      <c r="E7" s="553"/>
      <c r="F7" s="554"/>
    </row>
    <row r="8" spans="1:6" ht="16.5" thickBot="1" x14ac:dyDescent="0.25">
      <c r="A8" s="463" t="s">
        <v>196</v>
      </c>
      <c r="B8" s="464"/>
      <c r="C8" s="464"/>
      <c r="D8" s="464"/>
      <c r="E8" s="464"/>
      <c r="F8" s="465"/>
    </row>
    <row r="9" spans="1:6" ht="15.75" x14ac:dyDescent="0.2">
      <c r="A9" s="134" t="s">
        <v>195</v>
      </c>
      <c r="B9" s="135"/>
      <c r="C9" s="135"/>
      <c r="D9" s="136"/>
      <c r="E9" s="137" t="s">
        <v>39</v>
      </c>
      <c r="F9" s="138" t="s">
        <v>2</v>
      </c>
    </row>
    <row r="10" spans="1:6" ht="15.75" x14ac:dyDescent="0.2">
      <c r="A10" s="139" t="str">
        <f>A48</f>
        <v>1. Mão-de-obra</v>
      </c>
      <c r="B10" s="140"/>
      <c r="C10" s="141"/>
      <c r="D10" s="141"/>
      <c r="E10" s="142">
        <f>SUM(E11:E15)</f>
        <v>22396.511772293994</v>
      </c>
      <c r="F10" s="143">
        <f t="shared" ref="F10:F20" si="0">IFERROR(E10/$E$28,0)</f>
        <v>0.64512938191284874</v>
      </c>
    </row>
    <row r="11" spans="1:6" ht="15.75" x14ac:dyDescent="0.2">
      <c r="A11" s="398" t="str">
        <f>A52</f>
        <v>1.5. Reciclador Turno do Dia</v>
      </c>
      <c r="B11" s="140"/>
      <c r="C11" s="141"/>
      <c r="D11" s="141"/>
      <c r="E11" s="399">
        <f>SUM(F64)</f>
        <v>15629.202747200001</v>
      </c>
      <c r="F11" s="148">
        <f t="shared" si="0"/>
        <v>0.45019769197116283</v>
      </c>
    </row>
    <row r="12" spans="1:6" ht="15.75" x14ac:dyDescent="0.2">
      <c r="A12" s="144" t="str">
        <f>A66</f>
        <v>1.6. Operador Turno do Dia</v>
      </c>
      <c r="B12" s="145"/>
      <c r="C12" s="146"/>
      <c r="D12" s="146"/>
      <c r="E12" s="147">
        <f>F78</f>
        <v>4265.196852</v>
      </c>
      <c r="F12" s="148">
        <f t="shared" si="0"/>
        <v>0.12285858783917007</v>
      </c>
    </row>
    <row r="13" spans="1:6" ht="15.75" x14ac:dyDescent="0.2">
      <c r="A13" s="144" t="str">
        <f>A81</f>
        <v>1.7. Vale Transporte</v>
      </c>
      <c r="B13" s="145"/>
      <c r="C13" s="146"/>
      <c r="D13" s="146"/>
      <c r="E13" s="147">
        <f>F87</f>
        <v>335.55420000000004</v>
      </c>
      <c r="F13" s="148">
        <f t="shared" si="0"/>
        <v>9.6656066732702453E-3</v>
      </c>
    </row>
    <row r="14" spans="1:6" ht="15.75" x14ac:dyDescent="0.2">
      <c r="A14" s="144" t="str">
        <f>A89</f>
        <v>1.8. Vale-refeição (diário)</v>
      </c>
      <c r="B14" s="145"/>
      <c r="C14" s="146"/>
      <c r="D14" s="146"/>
      <c r="E14" s="147">
        <f>F93</f>
        <v>2053.4399999999996</v>
      </c>
      <c r="F14" s="148">
        <f t="shared" si="0"/>
        <v>5.9149143021187185E-2</v>
      </c>
    </row>
    <row r="15" spans="1:6" ht="15.75" x14ac:dyDescent="0.2">
      <c r="A15" s="144" t="str">
        <f>A95</f>
        <v>1.9. Auxílio Alimentação (mensal)</v>
      </c>
      <c r="B15" s="145"/>
      <c r="C15" s="146"/>
      <c r="D15" s="146"/>
      <c r="E15" s="147">
        <f>F98</f>
        <v>113.11797309399398</v>
      </c>
      <c r="F15" s="148">
        <f t="shared" si="0"/>
        <v>3.2583524080584069E-3</v>
      </c>
    </row>
    <row r="16" spans="1:6" ht="15.75" x14ac:dyDescent="0.2">
      <c r="A16" s="512" t="str">
        <f>A102</f>
        <v>2. Uniformes e Equipamentos de Proteção Individual</v>
      </c>
      <c r="B16" s="513"/>
      <c r="C16" s="513"/>
      <c r="D16" s="141"/>
      <c r="E16" s="142">
        <f>+F134</f>
        <v>1224.7024319793852</v>
      </c>
      <c r="F16" s="143">
        <f t="shared" si="0"/>
        <v>3.5277436549178177E-2</v>
      </c>
    </row>
    <row r="17" spans="1:6" ht="15.75" x14ac:dyDescent="0.2">
      <c r="A17" s="149" t="str">
        <f>A136</f>
        <v>3. Veículos e Equipamentos</v>
      </c>
      <c r="B17" s="395"/>
      <c r="C17" s="141"/>
      <c r="D17" s="141"/>
      <c r="E17" s="142">
        <f>SUM(F223)</f>
        <v>4773.5074212499994</v>
      </c>
      <c r="F17" s="143">
        <f t="shared" si="0"/>
        <v>0.13750042522411887</v>
      </c>
    </row>
    <row r="18" spans="1:6" ht="15.75" x14ac:dyDescent="0.2">
      <c r="A18" s="151" t="str">
        <f>A138</f>
        <v>3.6. Central de Triagem com capacidade mínima de 11,333 ton/dia.</v>
      </c>
      <c r="B18" s="396"/>
      <c r="C18" s="146"/>
      <c r="D18" s="146"/>
      <c r="E18" s="147">
        <f>SUM(E19:E24)</f>
        <v>4773.5074212499994</v>
      </c>
      <c r="F18" s="148">
        <f t="shared" si="0"/>
        <v>0.13750042522411887</v>
      </c>
    </row>
    <row r="19" spans="1:6" ht="15.75" x14ac:dyDescent="0.2">
      <c r="A19" s="151" t="str">
        <f>A140</f>
        <v>3.6.1. Depreciação</v>
      </c>
      <c r="B19" s="396"/>
      <c r="C19" s="146"/>
      <c r="D19" s="146"/>
      <c r="E19" s="147">
        <f>F159</f>
        <v>1196.7048</v>
      </c>
      <c r="F19" s="148">
        <f t="shared" si="0"/>
        <v>3.447096743481242E-2</v>
      </c>
    </row>
    <row r="20" spans="1:6" ht="15.75" x14ac:dyDescent="0.2">
      <c r="A20" s="151" t="str">
        <f>A161</f>
        <v>3.6.2. Remuneração do Capital</v>
      </c>
      <c r="B20" s="396"/>
      <c r="C20" s="146"/>
      <c r="D20" s="146"/>
      <c r="E20" s="147">
        <f>F180</f>
        <v>1180.6139812500001</v>
      </c>
      <c r="F20" s="148">
        <f t="shared" si="0"/>
        <v>3.4007472937981863E-2</v>
      </c>
    </row>
    <row r="21" spans="1:6" ht="15.75" x14ac:dyDescent="0.2">
      <c r="A21" s="151" t="str">
        <f>A182</f>
        <v>3.6.3. Impostos e Seguros</v>
      </c>
      <c r="B21" s="396"/>
      <c r="C21" s="146"/>
      <c r="D21" s="146"/>
      <c r="E21" s="147">
        <f>F186</f>
        <v>50</v>
      </c>
      <c r="F21" s="148">
        <f t="shared" ref="F21:F26" si="1">IFERROR(E21/$E$28,0)</f>
        <v>1.4402452231666665E-3</v>
      </c>
    </row>
    <row r="22" spans="1:6" ht="15.75" x14ac:dyDescent="0.2">
      <c r="A22" s="151" t="str">
        <f>A188</f>
        <v>3.6.4. Consumos</v>
      </c>
      <c r="B22" s="396"/>
      <c r="C22" s="146"/>
      <c r="D22" s="146"/>
      <c r="E22" s="147">
        <f>F204</f>
        <v>2265.2975999999999</v>
      </c>
      <c r="F22" s="148">
        <f t="shared" si="1"/>
        <v>6.5251680949018273E-2</v>
      </c>
    </row>
    <row r="23" spans="1:6" ht="15.75" x14ac:dyDescent="0.2">
      <c r="A23" s="151" t="str">
        <f>A206</f>
        <v>3.6.5. Manutenção</v>
      </c>
      <c r="B23" s="396"/>
      <c r="C23" s="146"/>
      <c r="D23" s="146"/>
      <c r="E23" s="147">
        <f>F209</f>
        <v>58.571039999999996</v>
      </c>
      <c r="F23" s="148">
        <f t="shared" si="1"/>
        <v>1.6871332115180749E-3</v>
      </c>
    </row>
    <row r="24" spans="1:6" ht="15.75" x14ac:dyDescent="0.2">
      <c r="A24" s="151" t="str">
        <f>A211</f>
        <v>3.6.6. Pneus</v>
      </c>
      <c r="B24" s="396"/>
      <c r="C24" s="146"/>
      <c r="D24" s="146"/>
      <c r="E24" s="147">
        <f>F220</f>
        <v>22.32</v>
      </c>
      <c r="F24" s="148">
        <f t="shared" si="1"/>
        <v>6.4292546762159989E-4</v>
      </c>
    </row>
    <row r="25" spans="1:6" ht="15.75" x14ac:dyDescent="0.2">
      <c r="A25" s="390" t="str">
        <f>A225</f>
        <v>4. Ferramentas e Materiais de Consumo</v>
      </c>
      <c r="B25" s="396"/>
      <c r="C25" s="146"/>
      <c r="D25" s="146"/>
      <c r="E25" s="391">
        <f>F231</f>
        <v>24.15</v>
      </c>
      <c r="F25" s="444">
        <f t="shared" si="1"/>
        <v>6.9563844278949989E-4</v>
      </c>
    </row>
    <row r="26" spans="1:6" ht="15.75" x14ac:dyDescent="0.2">
      <c r="A26" s="390" t="str">
        <f>A235</f>
        <v>5. Monitoramento da Frota</v>
      </c>
      <c r="B26" s="396"/>
      <c r="C26" s="146"/>
      <c r="D26" s="146"/>
      <c r="E26" s="391">
        <f>F242</f>
        <v>79.166666666666671</v>
      </c>
      <c r="F26" s="444">
        <f t="shared" si="1"/>
        <v>2.2803882700138888E-3</v>
      </c>
    </row>
    <row r="27" spans="1:6" ht="16.5" thickBot="1" x14ac:dyDescent="0.25">
      <c r="A27" s="149" t="str">
        <f>A248</f>
        <v>6. Benefícios e Despesas Indiretas - BDI</v>
      </c>
      <c r="B27" s="395"/>
      <c r="C27" s="141"/>
      <c r="D27" s="141"/>
      <c r="E27" s="391">
        <f>F254</f>
        <v>6218.2719553558691</v>
      </c>
      <c r="F27" s="143">
        <f>IFERROR(E27/$E$28,0)</f>
        <v>0.17911672960105074</v>
      </c>
    </row>
    <row r="28" spans="1:6" ht="16.5" thickBot="1" x14ac:dyDescent="0.25">
      <c r="A28" s="154" t="s">
        <v>334</v>
      </c>
      <c r="B28" s="397"/>
      <c r="C28" s="156"/>
      <c r="D28" s="156"/>
      <c r="E28" s="157">
        <f>E10+E16+E17+E25+E26+E27</f>
        <v>34716.310247545916</v>
      </c>
      <c r="F28" s="158">
        <f>F10+F16+F17+F25+F26+F27</f>
        <v>0.99999999999999989</v>
      </c>
    </row>
    <row r="29" spans="1:6" ht="15.75" x14ac:dyDescent="0.2">
      <c r="A29" s="98"/>
      <c r="B29" s="98"/>
      <c r="C29" s="98"/>
      <c r="D29" s="130"/>
      <c r="E29" s="130"/>
      <c r="F29" s="130"/>
    </row>
    <row r="30" spans="1:6" ht="16.5" thickBot="1" x14ac:dyDescent="0.25">
      <c r="A30" s="98"/>
      <c r="B30" s="98"/>
      <c r="C30" s="98"/>
      <c r="D30" s="130"/>
      <c r="E30" s="130"/>
      <c r="F30" s="130"/>
    </row>
    <row r="31" spans="1:6" ht="16.5" thickBot="1" x14ac:dyDescent="0.25">
      <c r="A31" s="463" t="s">
        <v>95</v>
      </c>
      <c r="B31" s="464"/>
      <c r="C31" s="464"/>
      <c r="D31" s="464"/>
      <c r="E31" s="465"/>
      <c r="F31" s="130"/>
    </row>
    <row r="32" spans="1:6" ht="15.75" x14ac:dyDescent="0.2">
      <c r="A32" s="541" t="s">
        <v>40</v>
      </c>
      <c r="B32" s="542"/>
      <c r="C32" s="542"/>
      <c r="D32" s="543"/>
      <c r="E32" s="303" t="s">
        <v>41</v>
      </c>
      <c r="F32" s="130"/>
    </row>
    <row r="33" spans="1:6" ht="15.75" x14ac:dyDescent="0.2">
      <c r="A33" s="400" t="str">
        <f>A52</f>
        <v>1.5. Reciclador Turno do Dia</v>
      </c>
      <c r="B33" s="394"/>
      <c r="C33" s="394"/>
      <c r="D33" s="394"/>
      <c r="E33" s="159">
        <v>4</v>
      </c>
      <c r="F33" s="130"/>
    </row>
    <row r="34" spans="1:6" ht="15.75" x14ac:dyDescent="0.2">
      <c r="A34" s="293" t="str">
        <f>+A66</f>
        <v>1.6. Operador Turno do Dia</v>
      </c>
      <c r="B34" s="177"/>
      <c r="C34" s="177"/>
      <c r="D34" s="32"/>
      <c r="E34" s="159">
        <f>C77</f>
        <v>1</v>
      </c>
      <c r="F34" s="130"/>
    </row>
    <row r="35" spans="1:6" ht="15.75" x14ac:dyDescent="0.2">
      <c r="A35" s="294" t="s">
        <v>333</v>
      </c>
      <c r="B35" s="292"/>
      <c r="C35" s="292"/>
      <c r="D35" s="32"/>
      <c r="E35" s="295">
        <f>SUM(E33:E34)</f>
        <v>5</v>
      </c>
      <c r="F35" s="130"/>
    </row>
    <row r="36" spans="1:6" ht="15.75" x14ac:dyDescent="0.2">
      <c r="A36" s="294"/>
      <c r="B36" s="292"/>
      <c r="C36" s="177"/>
      <c r="D36" s="177"/>
      <c r="E36" s="296"/>
      <c r="F36" s="130"/>
    </row>
    <row r="37" spans="1:6" ht="15.75" x14ac:dyDescent="0.2">
      <c r="A37" s="544" t="s">
        <v>384</v>
      </c>
      <c r="B37" s="545"/>
      <c r="C37" s="545"/>
      <c r="D37" s="546"/>
      <c r="E37" s="302" t="s">
        <v>41</v>
      </c>
      <c r="F37" s="98"/>
    </row>
    <row r="38" spans="1:6" ht="15.75" x14ac:dyDescent="0.2">
      <c r="A38" s="293" t="str">
        <f>+A138</f>
        <v>3.6. Central de Triagem com capacidade mínima de 11,333 ton/dia.</v>
      </c>
      <c r="B38" s="177"/>
      <c r="C38" s="177"/>
      <c r="D38" s="32"/>
      <c r="E38" s="159">
        <f>C158</f>
        <v>1</v>
      </c>
      <c r="F38" s="98"/>
    </row>
    <row r="39" spans="1:6" ht="15.75" x14ac:dyDescent="0.2">
      <c r="A39" s="401"/>
      <c r="B39" s="402"/>
      <c r="C39" s="402"/>
      <c r="D39" s="403"/>
      <c r="E39" s="404"/>
      <c r="F39" s="98"/>
    </row>
    <row r="40" spans="1:6" ht="15.75" x14ac:dyDescent="0.2">
      <c r="A40" s="544" t="s">
        <v>385</v>
      </c>
      <c r="B40" s="545"/>
      <c r="C40" s="545"/>
      <c r="D40" s="546"/>
      <c r="E40" s="302" t="s">
        <v>41</v>
      </c>
      <c r="F40" s="98"/>
    </row>
    <row r="41" spans="1:6" ht="15.75" x14ac:dyDescent="0.2">
      <c r="A41" s="405" t="s">
        <v>494</v>
      </c>
      <c r="B41" s="406"/>
      <c r="C41" s="406"/>
      <c r="D41" s="406"/>
      <c r="E41" s="159">
        <v>1</v>
      </c>
      <c r="F41" s="98"/>
    </row>
    <row r="42" spans="1:6" ht="15.75" x14ac:dyDescent="0.2">
      <c r="A42" s="405" t="s">
        <v>495</v>
      </c>
      <c r="B42" s="406"/>
      <c r="C42" s="406"/>
      <c r="D42" s="406"/>
      <c r="E42" s="159">
        <v>1</v>
      </c>
      <c r="F42" s="98"/>
    </row>
    <row r="43" spans="1:6" ht="15.75" x14ac:dyDescent="0.2">
      <c r="A43" s="405" t="s">
        <v>496</v>
      </c>
      <c r="B43" s="406"/>
      <c r="C43" s="406"/>
      <c r="D43" s="406"/>
      <c r="E43" s="159">
        <v>2</v>
      </c>
      <c r="F43" s="98"/>
    </row>
    <row r="44" spans="1:6" ht="16.5" thickBot="1" x14ac:dyDescent="0.25">
      <c r="A44" s="297"/>
      <c r="B44" s="298"/>
      <c r="C44" s="298"/>
      <c r="D44" s="111"/>
      <c r="E44" s="295">
        <f>SUM(E41:E43)</f>
        <v>4</v>
      </c>
      <c r="F44" s="98"/>
    </row>
    <row r="45" spans="1:6" ht="16.5" thickBot="1" x14ac:dyDescent="0.25">
      <c r="A45" s="160"/>
      <c r="B45" s="160"/>
      <c r="C45" s="160"/>
      <c r="D45" s="98"/>
      <c r="E45" s="163"/>
      <c r="F45" s="98"/>
    </row>
    <row r="46" spans="1:6" ht="16.5" thickBot="1" x14ac:dyDescent="0.25">
      <c r="A46" s="164" t="s">
        <v>297</v>
      </c>
      <c r="B46" s="346">
        <v>1</v>
      </c>
      <c r="C46" s="128"/>
      <c r="D46" s="107"/>
      <c r="E46" s="165"/>
      <c r="F46" s="107"/>
    </row>
    <row r="47" spans="1:6" ht="15.75" x14ac:dyDescent="0.2">
      <c r="A47" s="520"/>
      <c r="B47" s="520"/>
      <c r="C47" s="520"/>
      <c r="D47" s="520"/>
      <c r="E47" s="520"/>
      <c r="F47" s="520"/>
    </row>
    <row r="48" spans="1:6" ht="15.75" x14ac:dyDescent="0.2">
      <c r="A48" s="505" t="s">
        <v>48</v>
      </c>
      <c r="B48" s="505"/>
      <c r="C48" s="505"/>
      <c r="D48" s="505"/>
      <c r="E48" s="505"/>
      <c r="F48" s="505"/>
    </row>
    <row r="49" spans="1:6" ht="15.75" x14ac:dyDescent="0.2">
      <c r="A49" s="308"/>
      <c r="B49" s="308"/>
      <c r="C49" s="308"/>
      <c r="D49" s="308"/>
      <c r="E49" s="308"/>
      <c r="F49" s="308"/>
    </row>
    <row r="50" spans="1:6" ht="15.75" x14ac:dyDescent="0.2">
      <c r="A50" s="505" t="s">
        <v>48</v>
      </c>
      <c r="B50" s="505"/>
      <c r="C50" s="505"/>
      <c r="D50" s="505"/>
      <c r="E50" s="505"/>
      <c r="F50" s="505"/>
    </row>
    <row r="51" spans="1:6" ht="15.75" x14ac:dyDescent="0.2">
      <c r="A51" s="467"/>
      <c r="B51" s="467"/>
      <c r="C51" s="467"/>
      <c r="D51" s="467"/>
      <c r="E51" s="467"/>
      <c r="F51" s="467"/>
    </row>
    <row r="52" spans="1:6" ht="16.5" thickBot="1" x14ac:dyDescent="0.25">
      <c r="A52" s="495" t="s">
        <v>415</v>
      </c>
      <c r="B52" s="495"/>
      <c r="C52" s="495"/>
      <c r="D52" s="495"/>
      <c r="E52" s="495"/>
      <c r="F52" s="495"/>
    </row>
    <row r="53" spans="1:6" ht="16.5" thickBot="1" x14ac:dyDescent="0.25">
      <c r="A53" s="166" t="s">
        <v>65</v>
      </c>
      <c r="B53" s="167" t="s">
        <v>66</v>
      </c>
      <c r="C53" s="167" t="s">
        <v>41</v>
      </c>
      <c r="D53" s="168" t="s">
        <v>227</v>
      </c>
      <c r="E53" s="168" t="s">
        <v>67</v>
      </c>
      <c r="F53" s="169" t="s">
        <v>300</v>
      </c>
    </row>
    <row r="54" spans="1:6" ht="15.75" x14ac:dyDescent="0.2">
      <c r="A54" s="251" t="s">
        <v>209</v>
      </c>
      <c r="B54" s="37" t="s">
        <v>7</v>
      </c>
      <c r="C54" s="37">
        <v>1</v>
      </c>
      <c r="D54" s="170">
        <v>1594.27</v>
      </c>
      <c r="E54" s="171">
        <f>C54*D54</f>
        <v>1594.27</v>
      </c>
      <c r="F54" s="252"/>
    </row>
    <row r="55" spans="1:6" ht="15.75" x14ac:dyDescent="0.2">
      <c r="A55" s="251" t="s">
        <v>210</v>
      </c>
      <c r="B55" s="37" t="s">
        <v>7</v>
      </c>
      <c r="C55" s="37">
        <v>1</v>
      </c>
      <c r="D55" s="170">
        <v>1320</v>
      </c>
      <c r="E55" s="171"/>
      <c r="F55" s="252"/>
    </row>
    <row r="56" spans="1:6" ht="15.75" x14ac:dyDescent="0.2">
      <c r="A56" s="31" t="s">
        <v>35</v>
      </c>
      <c r="B56" s="25" t="s">
        <v>0</v>
      </c>
      <c r="C56" s="172">
        <v>0</v>
      </c>
      <c r="D56" s="173">
        <f>D54/220*2</f>
        <v>14.493363636363636</v>
      </c>
      <c r="E56" s="173">
        <f>C56*D56</f>
        <v>0</v>
      </c>
      <c r="F56" s="252"/>
    </row>
    <row r="57" spans="1:6" ht="15.75" x14ac:dyDescent="0.2">
      <c r="A57" s="31" t="s">
        <v>212</v>
      </c>
      <c r="B57" s="25" t="s">
        <v>34</v>
      </c>
      <c r="C57" s="98"/>
      <c r="D57" s="173">
        <f>63/302*(SUM(E56:E56))</f>
        <v>0</v>
      </c>
      <c r="E57" s="173">
        <f>D57</f>
        <v>0</v>
      </c>
      <c r="F57" s="252"/>
    </row>
    <row r="58" spans="1:6" ht="15.75" x14ac:dyDescent="0.2">
      <c r="A58" s="31" t="s">
        <v>208</v>
      </c>
      <c r="B58" s="25"/>
      <c r="C58" s="180">
        <v>2</v>
      </c>
      <c r="D58" s="173"/>
      <c r="E58" s="173"/>
      <c r="F58" s="252"/>
    </row>
    <row r="59" spans="1:6" ht="15.75" x14ac:dyDescent="0.2">
      <c r="A59" s="31" t="s">
        <v>1</v>
      </c>
      <c r="B59" s="25" t="s">
        <v>2</v>
      </c>
      <c r="C59" s="30">
        <v>40</v>
      </c>
      <c r="D59" s="174">
        <f>IF(C58=2,SUM(E54:E55),IF(C58=1,(SUM(E54:E55))*D55/D54,0))</f>
        <v>1594.27</v>
      </c>
      <c r="E59" s="173">
        <f>C59*D59/100</f>
        <v>637.70800000000008</v>
      </c>
      <c r="F59" s="252"/>
    </row>
    <row r="60" spans="1:6" ht="15.75" x14ac:dyDescent="0.2">
      <c r="A60" s="523" t="s">
        <v>302</v>
      </c>
      <c r="B60" s="524"/>
      <c r="C60" s="524"/>
      <c r="D60" s="525"/>
      <c r="E60" s="181">
        <f>SUM(E54:E59)</f>
        <v>2231.9780000000001</v>
      </c>
      <c r="F60" s="258"/>
    </row>
    <row r="61" spans="1:6" ht="15.75" x14ac:dyDescent="0.2">
      <c r="A61" s="31" t="s">
        <v>3</v>
      </c>
      <c r="B61" s="25" t="s">
        <v>2</v>
      </c>
      <c r="C61" s="176">
        <f>'[2]2.Encargos Sociais'!C34*100</f>
        <v>75.06</v>
      </c>
      <c r="D61" s="173">
        <f>E60</f>
        <v>2231.9780000000001</v>
      </c>
      <c r="E61" s="173">
        <f>D61*C61/100</f>
        <v>1675.3226868000002</v>
      </c>
      <c r="F61" s="252"/>
    </row>
    <row r="62" spans="1:6" ht="15.75" x14ac:dyDescent="0.2">
      <c r="A62" s="523" t="s">
        <v>305</v>
      </c>
      <c r="B62" s="524"/>
      <c r="C62" s="524"/>
      <c r="D62" s="525"/>
      <c r="E62" s="181">
        <f>E60+E61</f>
        <v>3907.3006868000002</v>
      </c>
      <c r="F62" s="258"/>
    </row>
    <row r="63" spans="1:6" ht="15.75" x14ac:dyDescent="0.2">
      <c r="A63" s="31" t="s">
        <v>4</v>
      </c>
      <c r="B63" s="25" t="s">
        <v>5</v>
      </c>
      <c r="C63" s="30">
        <v>4</v>
      </c>
      <c r="D63" s="173">
        <f>E62</f>
        <v>3907.3006868000002</v>
      </c>
      <c r="E63" s="173">
        <f>C63*D63</f>
        <v>15629.202747200001</v>
      </c>
      <c r="F63" s="252"/>
    </row>
    <row r="64" spans="1:6" ht="16.5" thickBot="1" x14ac:dyDescent="0.25">
      <c r="A64" s="535" t="str">
        <f>F53</f>
        <v>Total (R$)</v>
      </c>
      <c r="B64" s="536"/>
      <c r="C64" s="537"/>
      <c r="D64" s="299" t="s">
        <v>301</v>
      </c>
      <c r="E64" s="347">
        <f>$B$46</f>
        <v>1</v>
      </c>
      <c r="F64" s="211">
        <f>E63*E64</f>
        <v>15629.202747200001</v>
      </c>
    </row>
    <row r="65" spans="1:6" ht="15.75" x14ac:dyDescent="0.2">
      <c r="A65" s="527"/>
      <c r="B65" s="527"/>
      <c r="C65" s="527"/>
      <c r="D65" s="527"/>
      <c r="E65" s="527"/>
      <c r="F65" s="527"/>
    </row>
    <row r="66" spans="1:6" ht="16.5" thickBot="1" x14ac:dyDescent="0.25">
      <c r="A66" s="495" t="s">
        <v>416</v>
      </c>
      <c r="B66" s="495"/>
      <c r="C66" s="495"/>
      <c r="D66" s="495"/>
      <c r="E66" s="495"/>
      <c r="F66" s="495"/>
    </row>
    <row r="67" spans="1:6" ht="16.5" thickBot="1" x14ac:dyDescent="0.25">
      <c r="A67" s="166" t="s">
        <v>65</v>
      </c>
      <c r="B67" s="167" t="s">
        <v>66</v>
      </c>
      <c r="C67" s="167" t="s">
        <v>41</v>
      </c>
      <c r="D67" s="168" t="s">
        <v>227</v>
      </c>
      <c r="E67" s="168" t="s">
        <v>67</v>
      </c>
      <c r="F67" s="169" t="s">
        <v>300</v>
      </c>
    </row>
    <row r="68" spans="1:6" ht="15.75" x14ac:dyDescent="0.2">
      <c r="A68" s="251" t="s">
        <v>209</v>
      </c>
      <c r="B68" s="37" t="s">
        <v>7</v>
      </c>
      <c r="C68" s="37">
        <v>1</v>
      </c>
      <c r="D68" s="170">
        <v>2030.35</v>
      </c>
      <c r="E68" s="171">
        <f>C68*D68</f>
        <v>2030.35</v>
      </c>
      <c r="F68" s="252"/>
    </row>
    <row r="69" spans="1:6" ht="15.75" x14ac:dyDescent="0.2">
      <c r="A69" s="251" t="s">
        <v>210</v>
      </c>
      <c r="B69" s="37" t="s">
        <v>7</v>
      </c>
      <c r="C69" s="37">
        <v>1</v>
      </c>
      <c r="D69" s="170">
        <v>1320</v>
      </c>
      <c r="E69" s="171"/>
      <c r="F69" s="252"/>
    </row>
    <row r="70" spans="1:6" ht="15.75" x14ac:dyDescent="0.2">
      <c r="A70" s="31" t="s">
        <v>35</v>
      </c>
      <c r="B70" s="25" t="s">
        <v>0</v>
      </c>
      <c r="C70" s="172">
        <v>0</v>
      </c>
      <c r="D70" s="173">
        <f>D68/220*2</f>
        <v>18.457727272727272</v>
      </c>
      <c r="E70" s="173">
        <f>C70*D70</f>
        <v>0</v>
      </c>
      <c r="F70" s="252"/>
    </row>
    <row r="71" spans="1:6" ht="15.75" x14ac:dyDescent="0.2">
      <c r="A71" s="31" t="s">
        <v>212</v>
      </c>
      <c r="B71" s="25" t="s">
        <v>34</v>
      </c>
      <c r="C71" s="98"/>
      <c r="D71" s="173">
        <f>63/302*(SUM(E70:E70))</f>
        <v>0</v>
      </c>
      <c r="E71" s="173">
        <f>D71</f>
        <v>0</v>
      </c>
      <c r="F71" s="252"/>
    </row>
    <row r="72" spans="1:6" ht="15.75" x14ac:dyDescent="0.2">
      <c r="A72" s="31" t="s">
        <v>208</v>
      </c>
      <c r="B72" s="25"/>
      <c r="C72" s="180">
        <v>2</v>
      </c>
      <c r="D72" s="173"/>
      <c r="E72" s="173"/>
      <c r="F72" s="252"/>
    </row>
    <row r="73" spans="1:6" ht="15.75" x14ac:dyDescent="0.2">
      <c r="A73" s="31" t="s">
        <v>1</v>
      </c>
      <c r="B73" s="25" t="s">
        <v>2</v>
      </c>
      <c r="C73" s="30">
        <v>20</v>
      </c>
      <c r="D73" s="174">
        <f>IF(C72=2,SUM(E68:E69),IF(C72=1,(SUM(E68:E69))*D69/D68,0))</f>
        <v>2030.35</v>
      </c>
      <c r="E73" s="173">
        <f>C73*D73/100</f>
        <v>406.07</v>
      </c>
      <c r="F73" s="252"/>
    </row>
    <row r="74" spans="1:6" ht="15.75" x14ac:dyDescent="0.2">
      <c r="A74" s="523" t="s">
        <v>302</v>
      </c>
      <c r="B74" s="524"/>
      <c r="C74" s="524"/>
      <c r="D74" s="525"/>
      <c r="E74" s="181">
        <f>SUM(E68:E73)</f>
        <v>2436.42</v>
      </c>
      <c r="F74" s="258"/>
    </row>
    <row r="75" spans="1:6" ht="15.75" x14ac:dyDescent="0.2">
      <c r="A75" s="31" t="s">
        <v>3</v>
      </c>
      <c r="B75" s="25" t="s">
        <v>2</v>
      </c>
      <c r="C75" s="176">
        <f>'[2]2.Encargos Sociais'!$C$34*100</f>
        <v>75.06</v>
      </c>
      <c r="D75" s="173">
        <f>E74</f>
        <v>2436.42</v>
      </c>
      <c r="E75" s="173">
        <f>D75*C75/100</f>
        <v>1828.776852</v>
      </c>
      <c r="F75" s="252"/>
    </row>
    <row r="76" spans="1:6" ht="15.75" x14ac:dyDescent="0.2">
      <c r="A76" s="523" t="s">
        <v>305</v>
      </c>
      <c r="B76" s="524"/>
      <c r="C76" s="524"/>
      <c r="D76" s="525"/>
      <c r="E76" s="181">
        <f>E74+E75</f>
        <v>4265.196852</v>
      </c>
      <c r="F76" s="258"/>
    </row>
    <row r="77" spans="1:6" ht="15.75" x14ac:dyDescent="0.2">
      <c r="A77" s="31" t="s">
        <v>4</v>
      </c>
      <c r="B77" s="25" t="s">
        <v>5</v>
      </c>
      <c r="C77" s="30">
        <v>1</v>
      </c>
      <c r="D77" s="173">
        <f>E76</f>
        <v>4265.196852</v>
      </c>
      <c r="E77" s="173">
        <f>C77*D77</f>
        <v>4265.196852</v>
      </c>
      <c r="F77" s="252"/>
    </row>
    <row r="78" spans="1:6" ht="16.5" thickBot="1" x14ac:dyDescent="0.25">
      <c r="A78" s="535" t="str">
        <f>F67</f>
        <v>Total (R$)</v>
      </c>
      <c r="B78" s="536"/>
      <c r="C78" s="537"/>
      <c r="D78" s="299" t="s">
        <v>301</v>
      </c>
      <c r="E78" s="347">
        <f>$B$46</f>
        <v>1</v>
      </c>
      <c r="F78" s="211">
        <f>E77*E78</f>
        <v>4265.196852</v>
      </c>
    </row>
    <row r="79" spans="1:6" ht="15.75" x14ac:dyDescent="0.2">
      <c r="A79" s="527"/>
      <c r="B79" s="527"/>
      <c r="C79" s="527"/>
      <c r="D79" s="527"/>
      <c r="E79" s="527"/>
      <c r="F79" s="527"/>
    </row>
    <row r="80" spans="1:6" ht="15.75" x14ac:dyDescent="0.2">
      <c r="A80" s="467"/>
      <c r="B80" s="467"/>
      <c r="C80" s="467"/>
      <c r="D80" s="467"/>
      <c r="E80" s="467"/>
      <c r="F80" s="467"/>
    </row>
    <row r="81" spans="1:6" ht="16.5" thickBot="1" x14ac:dyDescent="0.25">
      <c r="A81" s="495" t="s">
        <v>417</v>
      </c>
      <c r="B81" s="495"/>
      <c r="C81" s="495"/>
      <c r="D81" s="495"/>
      <c r="E81" s="495"/>
      <c r="F81" s="495"/>
    </row>
    <row r="82" spans="1:6" ht="16.5" thickBot="1" x14ac:dyDescent="0.25">
      <c r="A82" s="166" t="s">
        <v>65</v>
      </c>
      <c r="B82" s="167" t="s">
        <v>66</v>
      </c>
      <c r="C82" s="167" t="s">
        <v>41</v>
      </c>
      <c r="D82" s="168" t="s">
        <v>227</v>
      </c>
      <c r="E82" s="168" t="s">
        <v>67</v>
      </c>
      <c r="F82" s="169" t="s">
        <v>300</v>
      </c>
    </row>
    <row r="83" spans="1:6" ht="15.75" x14ac:dyDescent="0.2">
      <c r="A83" s="31" t="s">
        <v>91</v>
      </c>
      <c r="B83" s="25" t="s">
        <v>34</v>
      </c>
      <c r="C83" s="182">
        <v>1</v>
      </c>
      <c r="D83" s="262">
        <v>3.5</v>
      </c>
      <c r="E83" s="214"/>
      <c r="F83" s="259"/>
    </row>
    <row r="84" spans="1:6" ht="15.75" x14ac:dyDescent="0.2">
      <c r="A84" s="31" t="s">
        <v>92</v>
      </c>
      <c r="B84" s="25" t="s">
        <v>93</v>
      </c>
      <c r="C84" s="263">
        <v>24</v>
      </c>
      <c r="D84" s="173"/>
      <c r="E84" s="214"/>
      <c r="F84" s="260"/>
    </row>
    <row r="85" spans="1:6" ht="15.75" x14ac:dyDescent="0.2">
      <c r="A85" s="31" t="s">
        <v>386</v>
      </c>
      <c r="B85" s="25" t="s">
        <v>8</v>
      </c>
      <c r="C85" s="183">
        <f>$C$84*2*(C63)</f>
        <v>192</v>
      </c>
      <c r="D85" s="171">
        <f>IFERROR((($C$84*2*$D$83)-(E54*0.06))/($C$84*2),"-")</f>
        <v>1.5071625</v>
      </c>
      <c r="E85" s="214">
        <f>IFERROR(C85*D85,"-")</f>
        <v>289.37520000000001</v>
      </c>
      <c r="F85" s="260"/>
    </row>
    <row r="86" spans="1:6" ht="15.75" x14ac:dyDescent="0.2">
      <c r="A86" s="251" t="s">
        <v>387</v>
      </c>
      <c r="B86" s="37" t="s">
        <v>8</v>
      </c>
      <c r="C86" s="183">
        <f>$C$84*2*(C77)</f>
        <v>48</v>
      </c>
      <c r="D86" s="171">
        <f>IFERROR((($C$84*2*$D$83)-(E68*0.06))/($C$84*2),"-")</f>
        <v>0.96206250000000038</v>
      </c>
      <c r="E86" s="215">
        <f>IFERROR(C86*D86,"-")</f>
        <v>46.179000000000016</v>
      </c>
      <c r="F86" s="260"/>
    </row>
    <row r="87" spans="1:6" ht="16.5" thickBot="1" x14ac:dyDescent="0.25">
      <c r="A87" s="538" t="str">
        <f>F82</f>
        <v>Total (R$)</v>
      </c>
      <c r="B87" s="539"/>
      <c r="C87" s="539"/>
      <c r="D87" s="539"/>
      <c r="E87" s="540"/>
      <c r="F87" s="264">
        <f>SUM(E85:E86)</f>
        <v>335.55420000000004</v>
      </c>
    </row>
    <row r="88" spans="1:6" ht="15.75" x14ac:dyDescent="0.2">
      <c r="A88" s="527"/>
      <c r="B88" s="527"/>
      <c r="C88" s="527"/>
      <c r="D88" s="527"/>
      <c r="E88" s="527"/>
      <c r="F88" s="527"/>
    </row>
    <row r="89" spans="1:6" ht="16.5" thickBot="1" x14ac:dyDescent="0.25">
      <c r="A89" s="495" t="s">
        <v>418</v>
      </c>
      <c r="B89" s="495"/>
      <c r="C89" s="495"/>
      <c r="D89" s="495"/>
      <c r="E89" s="495"/>
      <c r="F89" s="495"/>
    </row>
    <row r="90" spans="1:6" ht="16.5" thickBot="1" x14ac:dyDescent="0.25">
      <c r="A90" s="166" t="s">
        <v>65</v>
      </c>
      <c r="B90" s="167" t="s">
        <v>66</v>
      </c>
      <c r="C90" s="167" t="s">
        <v>41</v>
      </c>
      <c r="D90" s="168" t="s">
        <v>227</v>
      </c>
      <c r="E90" s="168" t="s">
        <v>67</v>
      </c>
      <c r="F90" s="169" t="s">
        <v>300</v>
      </c>
    </row>
    <row r="91" spans="1:6" ht="15.75" x14ac:dyDescent="0.2">
      <c r="A91" s="31" t="str">
        <f>+A85</f>
        <v>Reciclador</v>
      </c>
      <c r="B91" s="25" t="s">
        <v>9</v>
      </c>
      <c r="C91" s="183">
        <f>$C$84*1*(C63)</f>
        <v>96</v>
      </c>
      <c r="D91" s="185">
        <v>18.2</v>
      </c>
      <c r="E91" s="216">
        <f>C91*D91</f>
        <v>1747.1999999999998</v>
      </c>
      <c r="F91" s="407"/>
    </row>
    <row r="92" spans="1:6" ht="15.75" x14ac:dyDescent="0.2">
      <c r="A92" s="31" t="str">
        <f>+A86</f>
        <v>Operador</v>
      </c>
      <c r="B92" s="25" t="s">
        <v>9</v>
      </c>
      <c r="C92" s="183">
        <f>$C$84*1*(C77)</f>
        <v>24</v>
      </c>
      <c r="D92" s="457">
        <v>12.76</v>
      </c>
      <c r="E92" s="216">
        <f>C92*D92</f>
        <v>306.24</v>
      </c>
      <c r="F92" s="261"/>
    </row>
    <row r="93" spans="1:6" ht="16.5" thickBot="1" x14ac:dyDescent="0.25">
      <c r="A93" s="538" t="str">
        <f>F90</f>
        <v>Total (R$)</v>
      </c>
      <c r="B93" s="539"/>
      <c r="C93" s="539"/>
      <c r="D93" s="539"/>
      <c r="E93" s="540"/>
      <c r="F93" s="264">
        <f>SUM(E91:E92)</f>
        <v>2053.4399999999996</v>
      </c>
    </row>
    <row r="94" spans="1:6" ht="15.75" x14ac:dyDescent="0.2">
      <c r="A94" s="527"/>
      <c r="B94" s="527"/>
      <c r="C94" s="527"/>
      <c r="D94" s="527"/>
      <c r="E94" s="527"/>
      <c r="F94" s="527"/>
    </row>
    <row r="95" spans="1:6" ht="16.5" thickBot="1" x14ac:dyDescent="0.25">
      <c r="A95" s="495" t="s">
        <v>419</v>
      </c>
      <c r="B95" s="495"/>
      <c r="C95" s="495"/>
      <c r="D95" s="495"/>
      <c r="E95" s="495"/>
      <c r="F95" s="495"/>
    </row>
    <row r="96" spans="1:6" ht="16.5" thickBot="1" x14ac:dyDescent="0.25">
      <c r="A96" s="166" t="s">
        <v>65</v>
      </c>
      <c r="B96" s="167" t="s">
        <v>66</v>
      </c>
      <c r="C96" s="167" t="s">
        <v>41</v>
      </c>
      <c r="D96" s="168" t="s">
        <v>227</v>
      </c>
      <c r="E96" s="168" t="s">
        <v>67</v>
      </c>
      <c r="F96" s="169" t="s">
        <v>300</v>
      </c>
    </row>
    <row r="97" spans="1:6" ht="15.75" x14ac:dyDescent="0.2">
      <c r="A97" s="31" t="str">
        <f>+A92</f>
        <v>Operador</v>
      </c>
      <c r="B97" s="25" t="s">
        <v>9</v>
      </c>
      <c r="C97" s="184">
        <f>E34</f>
        <v>1</v>
      </c>
      <c r="D97" s="185">
        <v>113.11797309399398</v>
      </c>
      <c r="E97" s="216">
        <f>C97*D97</f>
        <v>113.11797309399398</v>
      </c>
      <c r="F97" s="261"/>
    </row>
    <row r="98" spans="1:6" ht="16.5" thickBot="1" x14ac:dyDescent="0.25">
      <c r="A98" s="538" t="str">
        <f>F96</f>
        <v>Total (R$)</v>
      </c>
      <c r="B98" s="539"/>
      <c r="C98" s="540"/>
      <c r="D98" s="299" t="s">
        <v>301</v>
      </c>
      <c r="E98" s="348">
        <f>$B$46</f>
        <v>1</v>
      </c>
      <c r="F98" s="264">
        <f>SUM(E97:E97)*E98</f>
        <v>113.11797309399398</v>
      </c>
    </row>
    <row r="99" spans="1:6" ht="16.5" thickBot="1" x14ac:dyDescent="0.25">
      <c r="A99" s="98"/>
      <c r="B99" s="98"/>
      <c r="C99" s="98"/>
      <c r="D99" s="130"/>
      <c r="E99" s="130"/>
      <c r="F99" s="130"/>
    </row>
    <row r="100" spans="1:6" ht="16.5" thickBot="1" x14ac:dyDescent="0.25">
      <c r="A100" s="217" t="s">
        <v>306</v>
      </c>
      <c r="B100" s="218"/>
      <c r="C100" s="218"/>
      <c r="D100" s="156"/>
      <c r="E100" s="156"/>
      <c r="F100" s="219">
        <f>F64+F98+F93+F87+F78</f>
        <v>22396.511772293994</v>
      </c>
    </row>
    <row r="101" spans="1:6" ht="15.75" x14ac:dyDescent="0.2">
      <c r="A101" s="527"/>
      <c r="B101" s="527"/>
      <c r="C101" s="527"/>
      <c r="D101" s="527"/>
      <c r="E101" s="527"/>
      <c r="F101" s="527"/>
    </row>
    <row r="102" spans="1:6" ht="15.75" x14ac:dyDescent="0.2">
      <c r="A102" s="505" t="s">
        <v>46</v>
      </c>
      <c r="B102" s="505"/>
      <c r="C102" s="505"/>
      <c r="D102" s="505"/>
      <c r="E102" s="505"/>
      <c r="F102" s="505"/>
    </row>
    <row r="103" spans="1:6" ht="15.75" x14ac:dyDescent="0.2">
      <c r="A103" s="467"/>
      <c r="B103" s="467"/>
      <c r="C103" s="467"/>
      <c r="D103" s="467"/>
      <c r="E103" s="467"/>
      <c r="F103" s="467"/>
    </row>
    <row r="104" spans="1:6" ht="15.75" x14ac:dyDescent="0.2">
      <c r="A104" s="526" t="s">
        <v>311</v>
      </c>
      <c r="B104" s="526"/>
      <c r="C104" s="526"/>
      <c r="D104" s="526"/>
      <c r="E104" s="526"/>
      <c r="F104" s="526"/>
    </row>
    <row r="105" spans="1:6" ht="16.5" thickBot="1" x14ac:dyDescent="0.25">
      <c r="A105" s="468"/>
      <c r="B105" s="468"/>
      <c r="C105" s="468"/>
      <c r="D105" s="468"/>
      <c r="E105" s="468"/>
      <c r="F105" s="468"/>
    </row>
    <row r="106" spans="1:6" ht="32.25" thickBot="1" x14ac:dyDescent="0.25">
      <c r="A106" s="166" t="s">
        <v>65</v>
      </c>
      <c r="B106" s="167" t="s">
        <v>66</v>
      </c>
      <c r="C106" s="190" t="s">
        <v>239</v>
      </c>
      <c r="D106" s="168" t="s">
        <v>227</v>
      </c>
      <c r="E106" s="168" t="s">
        <v>67</v>
      </c>
      <c r="F106" s="169" t="s">
        <v>300</v>
      </c>
    </row>
    <row r="107" spans="1:6" ht="15.75" x14ac:dyDescent="0.2">
      <c r="A107" s="251" t="s">
        <v>68</v>
      </c>
      <c r="B107" s="37" t="s">
        <v>9</v>
      </c>
      <c r="C107" s="269">
        <v>4</v>
      </c>
      <c r="D107" s="370">
        <v>98.4</v>
      </c>
      <c r="E107" s="171">
        <f>IFERROR(D107/C107,0)</f>
        <v>24.6</v>
      </c>
      <c r="F107" s="260"/>
    </row>
    <row r="108" spans="1:6" ht="15.75" x14ac:dyDescent="0.2">
      <c r="A108" s="31" t="s">
        <v>29</v>
      </c>
      <c r="B108" s="25" t="s">
        <v>9</v>
      </c>
      <c r="C108" s="191">
        <v>2</v>
      </c>
      <c r="D108" s="370">
        <v>50.42</v>
      </c>
      <c r="E108" s="171">
        <f t="shared" ref="E108:E116" si="2">IFERROR(D108/C108,0)</f>
        <v>25.21</v>
      </c>
      <c r="F108" s="260"/>
    </row>
    <row r="109" spans="1:6" ht="15.75" x14ac:dyDescent="0.2">
      <c r="A109" s="31" t="s">
        <v>30</v>
      </c>
      <c r="B109" s="25" t="s">
        <v>9</v>
      </c>
      <c r="C109" s="191">
        <v>2</v>
      </c>
      <c r="D109" s="370">
        <v>22.4</v>
      </c>
      <c r="E109" s="171">
        <f t="shared" si="2"/>
        <v>11.2</v>
      </c>
      <c r="F109" s="260"/>
    </row>
    <row r="110" spans="1:6" ht="15.75" x14ac:dyDescent="0.2">
      <c r="A110" s="31" t="s">
        <v>31</v>
      </c>
      <c r="B110" s="25" t="s">
        <v>9</v>
      </c>
      <c r="C110" s="191">
        <v>2</v>
      </c>
      <c r="D110" s="370">
        <v>17</v>
      </c>
      <c r="E110" s="171">
        <f t="shared" si="2"/>
        <v>8.5</v>
      </c>
      <c r="F110" s="260"/>
    </row>
    <row r="111" spans="1:6" ht="15.75" x14ac:dyDescent="0.2">
      <c r="A111" s="31" t="s">
        <v>70</v>
      </c>
      <c r="B111" s="25" t="s">
        <v>49</v>
      </c>
      <c r="C111" s="191">
        <v>2</v>
      </c>
      <c r="D111" s="370">
        <v>65.290000000000006</v>
      </c>
      <c r="E111" s="171">
        <f t="shared" si="2"/>
        <v>32.645000000000003</v>
      </c>
      <c r="F111" s="260"/>
    </row>
    <row r="112" spans="1:6" ht="15.75" x14ac:dyDescent="0.2">
      <c r="A112" s="31" t="s">
        <v>94</v>
      </c>
      <c r="B112" s="25" t="s">
        <v>49</v>
      </c>
      <c r="C112" s="191">
        <v>2</v>
      </c>
      <c r="D112" s="370">
        <v>8.75</v>
      </c>
      <c r="E112" s="171">
        <f t="shared" si="2"/>
        <v>4.375</v>
      </c>
      <c r="F112" s="260"/>
    </row>
    <row r="113" spans="1:6" ht="15.75" x14ac:dyDescent="0.2">
      <c r="A113" s="31" t="s">
        <v>69</v>
      </c>
      <c r="B113" s="25" t="s">
        <v>9</v>
      </c>
      <c r="C113" s="191">
        <v>2</v>
      </c>
      <c r="D113" s="370">
        <v>20.66</v>
      </c>
      <c r="E113" s="171">
        <f t="shared" si="2"/>
        <v>10.33</v>
      </c>
      <c r="F113" s="260"/>
    </row>
    <row r="114" spans="1:6" ht="15.75" x14ac:dyDescent="0.25">
      <c r="A114" s="267" t="s">
        <v>10</v>
      </c>
      <c r="B114" s="27" t="s">
        <v>9</v>
      </c>
      <c r="C114" s="191">
        <v>6</v>
      </c>
      <c r="D114" s="370">
        <v>38.590000000000003</v>
      </c>
      <c r="E114" s="171">
        <f t="shared" si="2"/>
        <v>6.4316666666666675</v>
      </c>
      <c r="F114" s="270"/>
    </row>
    <row r="115" spans="1:6" ht="15.75" x14ac:dyDescent="0.2">
      <c r="A115" s="31" t="s">
        <v>32</v>
      </c>
      <c r="B115" s="25" t="s">
        <v>49</v>
      </c>
      <c r="C115" s="191">
        <v>1</v>
      </c>
      <c r="D115" s="370">
        <v>19.170000000000002</v>
      </c>
      <c r="E115" s="171">
        <f t="shared" si="2"/>
        <v>19.170000000000002</v>
      </c>
      <c r="F115" s="260"/>
    </row>
    <row r="116" spans="1:6" ht="15.75" x14ac:dyDescent="0.2">
      <c r="A116" s="31" t="s">
        <v>64</v>
      </c>
      <c r="B116" s="25" t="s">
        <v>50</v>
      </c>
      <c r="C116" s="191">
        <v>1</v>
      </c>
      <c r="D116" s="370">
        <v>24.44</v>
      </c>
      <c r="E116" s="171">
        <f t="shared" si="2"/>
        <v>24.44</v>
      </c>
      <c r="F116" s="260"/>
    </row>
    <row r="117" spans="1:6" ht="15.75" x14ac:dyDescent="0.2">
      <c r="A117" s="31" t="s">
        <v>193</v>
      </c>
      <c r="B117" s="25" t="s">
        <v>120</v>
      </c>
      <c r="C117" s="192">
        <v>1</v>
      </c>
      <c r="D117" s="370">
        <v>82.46</v>
      </c>
      <c r="E117" s="173">
        <f t="shared" ref="E117" si="3">C117*D117</f>
        <v>82.46</v>
      </c>
      <c r="F117" s="260"/>
    </row>
    <row r="118" spans="1:6" ht="15.75" x14ac:dyDescent="0.2">
      <c r="A118" s="31" t="s">
        <v>4</v>
      </c>
      <c r="B118" s="25" t="s">
        <v>5</v>
      </c>
      <c r="C118" s="192">
        <f>SUM(C63)</f>
        <v>4</v>
      </c>
      <c r="D118" s="173">
        <f>+SUM(E107:E117)</f>
        <v>249.36166666666668</v>
      </c>
      <c r="E118" s="408">
        <f>C118*D118</f>
        <v>997.44666666666672</v>
      </c>
      <c r="F118" s="260"/>
    </row>
    <row r="119" spans="1:6" ht="16.5" thickBot="1" x14ac:dyDescent="0.25">
      <c r="A119" s="496" t="s">
        <v>337</v>
      </c>
      <c r="B119" s="497"/>
      <c r="C119" s="498"/>
      <c r="D119" s="257" t="s">
        <v>301</v>
      </c>
      <c r="E119" s="349">
        <f>$B$46</f>
        <v>1</v>
      </c>
      <c r="F119" s="211">
        <f>E118*E119</f>
        <v>997.44666666666672</v>
      </c>
    </row>
    <row r="120" spans="1:6" ht="15.75" x14ac:dyDescent="0.2">
      <c r="A120" s="392"/>
      <c r="B120" s="392"/>
      <c r="C120" s="392"/>
      <c r="D120" s="392"/>
      <c r="E120" s="392"/>
      <c r="F120" s="392"/>
    </row>
    <row r="121" spans="1:6" ht="15.75" x14ac:dyDescent="0.2">
      <c r="A121" s="526" t="s">
        <v>308</v>
      </c>
      <c r="B121" s="526"/>
      <c r="C121" s="526"/>
      <c r="D121" s="526"/>
      <c r="E121" s="526"/>
      <c r="F121" s="526"/>
    </row>
    <row r="122" spans="1:6" ht="16.5" thickBot="1" x14ac:dyDescent="0.25">
      <c r="A122" s="468"/>
      <c r="B122" s="468"/>
      <c r="C122" s="468"/>
      <c r="D122" s="468"/>
      <c r="E122" s="468"/>
      <c r="F122" s="468"/>
    </row>
    <row r="123" spans="1:6" ht="32.25" thickBot="1" x14ac:dyDescent="0.25">
      <c r="A123" s="166" t="s">
        <v>65</v>
      </c>
      <c r="B123" s="167" t="s">
        <v>66</v>
      </c>
      <c r="C123" s="190" t="s">
        <v>239</v>
      </c>
      <c r="D123" s="168" t="s">
        <v>227</v>
      </c>
      <c r="E123" s="168" t="s">
        <v>67</v>
      </c>
      <c r="F123" s="169" t="s">
        <v>300</v>
      </c>
    </row>
    <row r="124" spans="1:6" ht="15.75" x14ac:dyDescent="0.2">
      <c r="A124" s="251" t="s">
        <v>68</v>
      </c>
      <c r="B124" s="37" t="s">
        <v>9</v>
      </c>
      <c r="C124" s="191">
        <v>12</v>
      </c>
      <c r="D124" s="170">
        <v>98.4</v>
      </c>
      <c r="E124" s="171">
        <f>IFERROR(D124/C124,0)</f>
        <v>8.2000000000000011</v>
      </c>
      <c r="F124" s="259"/>
    </row>
    <row r="125" spans="1:6" ht="15.75" x14ac:dyDescent="0.2">
      <c r="A125" s="31" t="s">
        <v>29</v>
      </c>
      <c r="B125" s="25" t="s">
        <v>9</v>
      </c>
      <c r="C125" s="191">
        <v>2</v>
      </c>
      <c r="D125" s="170">
        <v>50.42</v>
      </c>
      <c r="E125" s="171">
        <f t="shared" ref="E125:E129" si="4">IFERROR(D125/C125,0)</f>
        <v>25.21</v>
      </c>
      <c r="F125" s="260"/>
    </row>
    <row r="126" spans="1:6" ht="15.75" x14ac:dyDescent="0.2">
      <c r="A126" s="31" t="s">
        <v>30</v>
      </c>
      <c r="B126" s="25" t="s">
        <v>9</v>
      </c>
      <c r="C126" s="191">
        <v>2</v>
      </c>
      <c r="D126" s="170">
        <v>22.4</v>
      </c>
      <c r="E126" s="171">
        <f t="shared" si="4"/>
        <v>11.2</v>
      </c>
      <c r="F126" s="260"/>
    </row>
    <row r="127" spans="1:6" ht="15.75" x14ac:dyDescent="0.2">
      <c r="A127" s="31" t="s">
        <v>70</v>
      </c>
      <c r="B127" s="25" t="s">
        <v>49</v>
      </c>
      <c r="C127" s="191">
        <v>2</v>
      </c>
      <c r="D127" s="170">
        <v>65.290000000000006</v>
      </c>
      <c r="E127" s="171">
        <f t="shared" si="4"/>
        <v>32.645000000000003</v>
      </c>
      <c r="F127" s="260"/>
    </row>
    <row r="128" spans="1:6" ht="15.75" x14ac:dyDescent="0.2">
      <c r="A128" s="31" t="s">
        <v>69</v>
      </c>
      <c r="B128" s="25" t="s">
        <v>9</v>
      </c>
      <c r="C128" s="191">
        <v>2</v>
      </c>
      <c r="D128" s="170">
        <v>20.66</v>
      </c>
      <c r="E128" s="171">
        <f t="shared" si="4"/>
        <v>10.33</v>
      </c>
      <c r="F128" s="260"/>
    </row>
    <row r="129" spans="1:6" ht="15.75" x14ac:dyDescent="0.2">
      <c r="A129" s="31" t="s">
        <v>64</v>
      </c>
      <c r="B129" s="25" t="s">
        <v>50</v>
      </c>
      <c r="C129" s="191">
        <v>1</v>
      </c>
      <c r="D129" s="170">
        <v>24.44</v>
      </c>
      <c r="E129" s="171">
        <f t="shared" si="4"/>
        <v>24.44</v>
      </c>
      <c r="F129" s="260"/>
    </row>
    <row r="130" spans="1:6" ht="15.75" x14ac:dyDescent="0.2">
      <c r="A130" s="31" t="s">
        <v>193</v>
      </c>
      <c r="B130" s="25" t="s">
        <v>120</v>
      </c>
      <c r="C130" s="192">
        <v>1</v>
      </c>
      <c r="D130" s="170">
        <v>82.46</v>
      </c>
      <c r="E130" s="173">
        <f t="shared" ref="E130:E131" si="5">C130*D130</f>
        <v>82.46</v>
      </c>
      <c r="F130" s="260"/>
    </row>
    <row r="131" spans="1:6" ht="15.75" x14ac:dyDescent="0.2">
      <c r="A131" s="31" t="s">
        <v>4</v>
      </c>
      <c r="B131" s="25" t="s">
        <v>5</v>
      </c>
      <c r="C131" s="192">
        <f>SUM(C77)</f>
        <v>1</v>
      </c>
      <c r="D131" s="173">
        <v>227.25576531271849</v>
      </c>
      <c r="E131" s="173">
        <f t="shared" si="5"/>
        <v>227.25576531271849</v>
      </c>
      <c r="F131" s="260"/>
    </row>
    <row r="132" spans="1:6" ht="16.5" thickBot="1" x14ac:dyDescent="0.25">
      <c r="A132" s="509" t="str">
        <f>F123</f>
        <v>Total (R$)</v>
      </c>
      <c r="B132" s="510"/>
      <c r="C132" s="511"/>
      <c r="D132" s="257" t="s">
        <v>301</v>
      </c>
      <c r="E132" s="349">
        <f>$B$46</f>
        <v>1</v>
      </c>
      <c r="F132" s="211">
        <f>E131*E132</f>
        <v>227.25576531271849</v>
      </c>
    </row>
    <row r="133" spans="1:6" ht="16.5" thickBot="1" x14ac:dyDescent="0.25">
      <c r="A133" s="98"/>
      <c r="B133" s="98"/>
      <c r="C133" s="98"/>
      <c r="D133" s="130"/>
      <c r="E133" s="130"/>
      <c r="F133" s="130"/>
    </row>
    <row r="134" spans="1:6" ht="16.5" thickBot="1" x14ac:dyDescent="0.25">
      <c r="A134" s="217" t="s">
        <v>194</v>
      </c>
      <c r="B134" s="271"/>
      <c r="C134" s="271"/>
      <c r="D134" s="272"/>
      <c r="E134" s="272"/>
      <c r="F134" s="178">
        <f>F132+F119</f>
        <v>1224.7024319793852</v>
      </c>
    </row>
    <row r="135" spans="1:6" ht="15.75" x14ac:dyDescent="0.2">
      <c r="A135" s="98"/>
      <c r="B135" s="98"/>
      <c r="C135" s="98"/>
      <c r="D135" s="130"/>
      <c r="E135" s="130"/>
      <c r="F135" s="130"/>
    </row>
    <row r="136" spans="1:6" ht="15.75" x14ac:dyDescent="0.2">
      <c r="A136" s="107" t="s">
        <v>55</v>
      </c>
      <c r="B136" s="98"/>
      <c r="C136" s="98"/>
      <c r="D136" s="130"/>
      <c r="E136" s="130"/>
      <c r="F136" s="130"/>
    </row>
    <row r="137" spans="1:6" ht="15.75" x14ac:dyDescent="0.2">
      <c r="A137" s="98"/>
      <c r="B137" s="193"/>
      <c r="C137" s="98"/>
      <c r="D137" s="130"/>
      <c r="E137" s="130"/>
      <c r="F137" s="130"/>
    </row>
    <row r="138" spans="1:6" ht="15.75" x14ac:dyDescent="0.2">
      <c r="A138" s="212" t="s">
        <v>544</v>
      </c>
      <c r="B138" s="98"/>
      <c r="C138" s="98"/>
      <c r="D138" s="130"/>
      <c r="E138" s="130"/>
      <c r="F138" s="130"/>
    </row>
    <row r="139" spans="1:6" ht="15.75" x14ac:dyDescent="0.2">
      <c r="A139" s="98"/>
      <c r="B139" s="98"/>
      <c r="C139" s="98"/>
      <c r="D139" s="130"/>
      <c r="E139" s="130"/>
      <c r="F139" s="130"/>
    </row>
    <row r="140" spans="1:6" ht="16.5" thickBot="1" x14ac:dyDescent="0.25">
      <c r="A140" s="221" t="s">
        <v>508</v>
      </c>
      <c r="B140" s="98"/>
      <c r="C140" s="98"/>
      <c r="D140" s="130"/>
      <c r="E140" s="130"/>
      <c r="F140" s="130"/>
    </row>
    <row r="141" spans="1:6" ht="16.5" thickBot="1" x14ac:dyDescent="0.25">
      <c r="A141" s="166" t="s">
        <v>65</v>
      </c>
      <c r="B141" s="167" t="s">
        <v>66</v>
      </c>
      <c r="C141" s="167" t="s">
        <v>41</v>
      </c>
      <c r="D141" s="168" t="s">
        <v>227</v>
      </c>
      <c r="E141" s="168" t="s">
        <v>67</v>
      </c>
      <c r="F141" s="169" t="s">
        <v>300</v>
      </c>
    </row>
    <row r="142" spans="1:6" ht="15.75" x14ac:dyDescent="0.2">
      <c r="A142" s="251" t="s">
        <v>440</v>
      </c>
      <c r="B142" s="37" t="s">
        <v>9</v>
      </c>
      <c r="C142" s="37">
        <v>1</v>
      </c>
      <c r="D142" s="170">
        <v>15000</v>
      </c>
      <c r="E142" s="215">
        <f>C142*D142</f>
        <v>15000</v>
      </c>
      <c r="F142" s="259"/>
    </row>
    <row r="143" spans="1:6" ht="15.75" x14ac:dyDescent="0.2">
      <c r="A143" s="31" t="s">
        <v>441</v>
      </c>
      <c r="B143" s="25" t="s">
        <v>102</v>
      </c>
      <c r="C143" s="30">
        <v>10</v>
      </c>
      <c r="D143" s="174"/>
      <c r="E143" s="214"/>
      <c r="F143" s="260"/>
    </row>
    <row r="144" spans="1:6" ht="15.75" x14ac:dyDescent="0.2">
      <c r="A144" s="31" t="s">
        <v>442</v>
      </c>
      <c r="B144" s="25" t="s">
        <v>102</v>
      </c>
      <c r="C144" s="30">
        <v>0</v>
      </c>
      <c r="D144" s="173"/>
      <c r="E144" s="214"/>
      <c r="F144" s="273"/>
    </row>
    <row r="145" spans="1:6" ht="15.75" x14ac:dyDescent="0.2">
      <c r="A145" s="31" t="s">
        <v>443</v>
      </c>
      <c r="B145" s="25" t="s">
        <v>2</v>
      </c>
      <c r="C145" s="176">
        <f>SUM('5. Depreciação'!B12)</f>
        <v>65.180000000000007</v>
      </c>
      <c r="D145" s="173">
        <f>E142</f>
        <v>15000</v>
      </c>
      <c r="E145" s="214">
        <f>C145*D145/100</f>
        <v>9777.0000000000018</v>
      </c>
      <c r="F145" s="260"/>
    </row>
    <row r="146" spans="1:6" ht="16.5" thickBot="1" x14ac:dyDescent="0.25">
      <c r="A146" s="274" t="s">
        <v>444</v>
      </c>
      <c r="B146" s="195" t="s">
        <v>7</v>
      </c>
      <c r="C146" s="195">
        <f>C143*12</f>
        <v>120</v>
      </c>
      <c r="D146" s="196">
        <f>IF(C144&lt;=C143,E145,0)</f>
        <v>9777.0000000000018</v>
      </c>
      <c r="E146" s="222">
        <f>IFERROR(D146/C146,0)</f>
        <v>81.475000000000009</v>
      </c>
      <c r="F146" s="260"/>
    </row>
    <row r="147" spans="1:6" ht="16.5" thickTop="1" x14ac:dyDescent="0.2">
      <c r="A147" s="251" t="s">
        <v>482</v>
      </c>
      <c r="B147" s="37" t="s">
        <v>9</v>
      </c>
      <c r="C147" s="37">
        <v>1</v>
      </c>
      <c r="D147" s="370">
        <v>129000</v>
      </c>
      <c r="E147" s="215">
        <f>C147*D147</f>
        <v>129000</v>
      </c>
      <c r="F147" s="260"/>
    </row>
    <row r="148" spans="1:6" ht="15.75" x14ac:dyDescent="0.2">
      <c r="A148" s="31" t="s">
        <v>483</v>
      </c>
      <c r="B148" s="25" t="s">
        <v>102</v>
      </c>
      <c r="C148" s="30">
        <v>10</v>
      </c>
      <c r="D148" s="173"/>
      <c r="E148" s="214"/>
      <c r="F148" s="260"/>
    </row>
    <row r="149" spans="1:6" ht="15.75" x14ac:dyDescent="0.2">
      <c r="A149" s="31" t="s">
        <v>484</v>
      </c>
      <c r="B149" s="25" t="s">
        <v>102</v>
      </c>
      <c r="C149" s="30">
        <v>0</v>
      </c>
      <c r="D149" s="173"/>
      <c r="E149" s="214"/>
      <c r="F149" s="260"/>
    </row>
    <row r="150" spans="1:6" ht="15.75" x14ac:dyDescent="0.2">
      <c r="A150" s="31" t="s">
        <v>485</v>
      </c>
      <c r="B150" s="25" t="s">
        <v>2</v>
      </c>
      <c r="C150" s="197">
        <f>SUM(C145)</f>
        <v>65.180000000000007</v>
      </c>
      <c r="D150" s="173">
        <f>E147</f>
        <v>129000</v>
      </c>
      <c r="E150" s="214">
        <f>C150*D150/100</f>
        <v>84082.2</v>
      </c>
      <c r="F150" s="260"/>
    </row>
    <row r="151" spans="1:6" ht="15.75" x14ac:dyDescent="0.2">
      <c r="A151" s="275" t="s">
        <v>486</v>
      </c>
      <c r="B151" s="120" t="s">
        <v>7</v>
      </c>
      <c r="C151" s="120">
        <f>C148*12</f>
        <v>120</v>
      </c>
      <c r="D151" s="181">
        <f>IF(C149&lt;=C148,E150,0)</f>
        <v>84082.2</v>
      </c>
      <c r="E151" s="223">
        <f>IFERROR(D151/C151,0)</f>
        <v>700.68499999999995</v>
      </c>
      <c r="F151" s="260"/>
    </row>
    <row r="152" spans="1:6" ht="15.75" x14ac:dyDescent="0.2">
      <c r="A152" s="251" t="s">
        <v>447</v>
      </c>
      <c r="B152" s="37" t="s">
        <v>9</v>
      </c>
      <c r="C152" s="37">
        <v>2</v>
      </c>
      <c r="D152" s="170">
        <v>30000</v>
      </c>
      <c r="E152" s="215">
        <f>C152*D152</f>
        <v>60000</v>
      </c>
      <c r="F152" s="260"/>
    </row>
    <row r="153" spans="1:6" ht="15.75" x14ac:dyDescent="0.2">
      <c r="A153" s="31" t="s">
        <v>448</v>
      </c>
      <c r="B153" s="25" t="s">
        <v>102</v>
      </c>
      <c r="C153" s="30">
        <v>10</v>
      </c>
      <c r="D153" s="173"/>
      <c r="E153" s="214"/>
      <c r="F153" s="260"/>
    </row>
    <row r="154" spans="1:6" ht="15.75" x14ac:dyDescent="0.2">
      <c r="A154" s="31" t="s">
        <v>449</v>
      </c>
      <c r="B154" s="25" t="s">
        <v>102</v>
      </c>
      <c r="C154" s="30">
        <v>0</v>
      </c>
      <c r="D154" s="173"/>
      <c r="E154" s="214"/>
      <c r="F154" s="273"/>
    </row>
    <row r="155" spans="1:6" ht="15.75" x14ac:dyDescent="0.2">
      <c r="A155" s="31" t="s">
        <v>450</v>
      </c>
      <c r="B155" s="25" t="s">
        <v>2</v>
      </c>
      <c r="C155" s="197">
        <f>SUM(C145)</f>
        <v>65.180000000000007</v>
      </c>
      <c r="D155" s="173">
        <f>E152</f>
        <v>60000</v>
      </c>
      <c r="E155" s="214">
        <f>C155*D155/100</f>
        <v>39108.000000000007</v>
      </c>
      <c r="F155" s="260"/>
    </row>
    <row r="156" spans="1:6" ht="15.75" x14ac:dyDescent="0.2">
      <c r="A156" s="275" t="s">
        <v>451</v>
      </c>
      <c r="B156" s="120" t="s">
        <v>7</v>
      </c>
      <c r="C156" s="120">
        <f>C153*12</f>
        <v>120</v>
      </c>
      <c r="D156" s="181">
        <f>IF(C154&lt;=C153,E155,0)</f>
        <v>39108.000000000007</v>
      </c>
      <c r="E156" s="223">
        <f>IFERROR(D156/C156,0)</f>
        <v>325.90000000000003</v>
      </c>
      <c r="F156" s="260"/>
    </row>
    <row r="157" spans="1:6" ht="15.75" x14ac:dyDescent="0.2">
      <c r="A157" s="276" t="s">
        <v>322</v>
      </c>
      <c r="B157" s="277"/>
      <c r="C157" s="277"/>
      <c r="D157" s="278"/>
      <c r="E157" s="224">
        <f>E146+E151+E156</f>
        <v>1108.06</v>
      </c>
      <c r="F157" s="260"/>
    </row>
    <row r="158" spans="1:6" ht="15.75" x14ac:dyDescent="0.2">
      <c r="A158" s="275" t="s">
        <v>452</v>
      </c>
      <c r="B158" s="120" t="s">
        <v>9</v>
      </c>
      <c r="C158" s="30">
        <v>1</v>
      </c>
      <c r="D158" s="181">
        <f>E157</f>
        <v>1108.06</v>
      </c>
      <c r="E158" s="224">
        <f>C158*D158</f>
        <v>1108.06</v>
      </c>
      <c r="F158" s="260"/>
    </row>
    <row r="159" spans="1:6" ht="16.5" thickBot="1" x14ac:dyDescent="0.25">
      <c r="A159" s="506" t="str">
        <f>F141</f>
        <v>Total (R$)</v>
      </c>
      <c r="B159" s="507"/>
      <c r="C159" s="508"/>
      <c r="D159" s="257" t="s">
        <v>301</v>
      </c>
      <c r="E159" s="350">
        <f>$B$46</f>
        <v>1</v>
      </c>
      <c r="F159" s="211">
        <f>(E158*E159)*1.08</f>
        <v>1196.7048</v>
      </c>
    </row>
    <row r="160" spans="1:6" ht="15.75" x14ac:dyDescent="0.2">
      <c r="A160" s="98"/>
      <c r="B160" s="98"/>
      <c r="C160" s="98"/>
      <c r="D160" s="130"/>
      <c r="E160" s="130"/>
      <c r="F160" s="130"/>
    </row>
    <row r="161" spans="1:6" ht="16.5" thickBot="1" x14ac:dyDescent="0.25">
      <c r="A161" s="221" t="s">
        <v>509</v>
      </c>
      <c r="B161" s="98"/>
      <c r="C161" s="98"/>
      <c r="D161" s="130"/>
      <c r="E161" s="130"/>
      <c r="F161" s="130"/>
    </row>
    <row r="162" spans="1:6" ht="16.5" thickBot="1" x14ac:dyDescent="0.25">
      <c r="A162" s="166" t="s">
        <v>65</v>
      </c>
      <c r="B162" s="167" t="s">
        <v>66</v>
      </c>
      <c r="C162" s="167" t="s">
        <v>41</v>
      </c>
      <c r="D162" s="168" t="s">
        <v>227</v>
      </c>
      <c r="E162" s="168" t="s">
        <v>67</v>
      </c>
      <c r="F162" s="169" t="s">
        <v>300</v>
      </c>
    </row>
    <row r="163" spans="1:6" ht="15.75" x14ac:dyDescent="0.2">
      <c r="A163" s="251" t="s">
        <v>445</v>
      </c>
      <c r="B163" s="37" t="s">
        <v>9</v>
      </c>
      <c r="C163" s="37">
        <v>1</v>
      </c>
      <c r="D163" s="171">
        <f>D142</f>
        <v>15000</v>
      </c>
      <c r="E163" s="215">
        <f>C163*D163</f>
        <v>15000</v>
      </c>
      <c r="F163" s="279"/>
    </row>
    <row r="164" spans="1:6" ht="15.75" x14ac:dyDescent="0.2">
      <c r="A164" s="31" t="s">
        <v>205</v>
      </c>
      <c r="B164" s="25" t="s">
        <v>2</v>
      </c>
      <c r="C164" s="30">
        <v>13.75</v>
      </c>
      <c r="D164" s="173"/>
      <c r="E164" s="214"/>
      <c r="F164" s="273"/>
    </row>
    <row r="165" spans="1:6" ht="15.75" x14ac:dyDescent="0.2">
      <c r="A165" s="31" t="s">
        <v>324</v>
      </c>
      <c r="B165" s="25" t="s">
        <v>34</v>
      </c>
      <c r="C165" s="198">
        <f>IFERROR(IF(C144&lt;=C143,E142-(C145/(100*C143)*C144)*E142,E142-E145),0)</f>
        <v>15000</v>
      </c>
      <c r="D165" s="173"/>
      <c r="E165" s="214"/>
      <c r="F165" s="273"/>
    </row>
    <row r="166" spans="1:6" ht="15.75" x14ac:dyDescent="0.2">
      <c r="A166" s="31" t="s">
        <v>446</v>
      </c>
      <c r="B166" s="25" t="s">
        <v>34</v>
      </c>
      <c r="C166" s="174">
        <f>IFERROR(IF(C144&gt;=C143,C165,((((C165)-(E142-E145))*(((C143-C144)+1)/(2*(C143-C144))))+(E142-E145))),0)</f>
        <v>10600.349999999999</v>
      </c>
      <c r="D166" s="173"/>
      <c r="E166" s="214"/>
      <c r="F166" s="273"/>
    </row>
    <row r="167" spans="1:6" ht="16.5" thickBot="1" x14ac:dyDescent="0.25">
      <c r="A167" s="274" t="s">
        <v>114</v>
      </c>
      <c r="B167" s="195" t="s">
        <v>34</v>
      </c>
      <c r="C167" s="195"/>
      <c r="D167" s="199">
        <f>C164*C166/12/100</f>
        <v>121.46234374999999</v>
      </c>
      <c r="E167" s="222">
        <f>D167</f>
        <v>121.46234374999999</v>
      </c>
      <c r="F167" s="273"/>
    </row>
    <row r="168" spans="1:6" ht="16.5" thickTop="1" x14ac:dyDescent="0.2">
      <c r="A168" s="251" t="s">
        <v>487</v>
      </c>
      <c r="B168" s="37" t="s">
        <v>9</v>
      </c>
      <c r="C168" s="37">
        <v>1</v>
      </c>
      <c r="D168" s="171">
        <f>D147</f>
        <v>129000</v>
      </c>
      <c r="E168" s="215">
        <f>C168*D168</f>
        <v>129000</v>
      </c>
      <c r="F168" s="273"/>
    </row>
    <row r="169" spans="1:6" ht="15.75" x14ac:dyDescent="0.2">
      <c r="A169" s="31" t="s">
        <v>205</v>
      </c>
      <c r="B169" s="25" t="s">
        <v>2</v>
      </c>
      <c r="C169" s="30">
        <v>13.75</v>
      </c>
      <c r="D169" s="173"/>
      <c r="E169" s="214"/>
      <c r="F169" s="273"/>
    </row>
    <row r="170" spans="1:6" ht="15.75" x14ac:dyDescent="0.2">
      <c r="A170" s="31" t="s">
        <v>327</v>
      </c>
      <c r="B170" s="25" t="s">
        <v>34</v>
      </c>
      <c r="C170" s="198">
        <f>IFERROR(IF(C154&lt;=C153,E152-(C155/(100*C153)*C154)*E152,E152-E155),0)</f>
        <v>60000</v>
      </c>
      <c r="D170" s="173"/>
      <c r="E170" s="214"/>
      <c r="F170" s="273"/>
    </row>
    <row r="171" spans="1:6" ht="15.75" x14ac:dyDescent="0.2">
      <c r="A171" s="31" t="s">
        <v>488</v>
      </c>
      <c r="B171" s="25" t="s">
        <v>34</v>
      </c>
      <c r="C171" s="174">
        <f>IFERROR(IF(C154&gt;=C153,C170,((((C170)-(E152-E155))*(((C153-C154)+1)/(2*(C153-C154))))+(E152-E155))),0)</f>
        <v>42401.399999999994</v>
      </c>
      <c r="D171" s="173"/>
      <c r="E171" s="214"/>
      <c r="F171" s="273"/>
    </row>
    <row r="172" spans="1:6" ht="16.5" thickBot="1" x14ac:dyDescent="0.25">
      <c r="A172" s="276" t="s">
        <v>489</v>
      </c>
      <c r="B172" s="452" t="s">
        <v>34</v>
      </c>
      <c r="C172" s="452"/>
      <c r="D172" s="453">
        <f>C169*C171/12/100</f>
        <v>485.84937499999995</v>
      </c>
      <c r="E172" s="224">
        <f>D172</f>
        <v>485.84937499999995</v>
      </c>
      <c r="F172" s="273"/>
    </row>
    <row r="173" spans="1:6" ht="16.5" thickTop="1" x14ac:dyDescent="0.2">
      <c r="A173" s="439" t="s">
        <v>453</v>
      </c>
      <c r="B173" s="440" t="s">
        <v>9</v>
      </c>
      <c r="C173" s="440">
        <v>2</v>
      </c>
      <c r="D173" s="442">
        <f>SUM(D152)</f>
        <v>30000</v>
      </c>
      <c r="E173" s="442">
        <f>C173*D173</f>
        <v>60000</v>
      </c>
      <c r="F173" s="273"/>
    </row>
    <row r="174" spans="1:6" ht="15.75" x14ac:dyDescent="0.2">
      <c r="A174" s="31" t="s">
        <v>205</v>
      </c>
      <c r="B174" s="25" t="s">
        <v>2</v>
      </c>
      <c r="C174" s="30">
        <f>C164</f>
        <v>13.75</v>
      </c>
      <c r="D174" s="173"/>
      <c r="E174" s="214"/>
      <c r="F174" s="273"/>
    </row>
    <row r="175" spans="1:6" ht="15.75" x14ac:dyDescent="0.2">
      <c r="A175" s="31" t="s">
        <v>327</v>
      </c>
      <c r="B175" s="25" t="s">
        <v>34</v>
      </c>
      <c r="C175" s="198">
        <f>IFERROR(IF(C154&lt;=C153,E152-(C155/(100*C153)*C154)*E152,E152-E155),0)</f>
        <v>60000</v>
      </c>
      <c r="D175" s="173"/>
      <c r="E175" s="214"/>
      <c r="F175" s="273"/>
    </row>
    <row r="176" spans="1:6" ht="15.75" x14ac:dyDescent="0.2">
      <c r="A176" s="31" t="s">
        <v>454</v>
      </c>
      <c r="B176" s="25" t="s">
        <v>34</v>
      </c>
      <c r="C176" s="174">
        <f>IFERROR(IF(C154&gt;=C153,C175,((((C175)-(E152-E155))*(((C153-C154)+1)/(2*(C153-C154))))+(E152-E155))),0)</f>
        <v>42401.399999999994</v>
      </c>
      <c r="D176" s="173"/>
      <c r="E176" s="214"/>
      <c r="F176" s="273"/>
    </row>
    <row r="177" spans="1:6" ht="15.75" x14ac:dyDescent="0.2">
      <c r="A177" s="275" t="s">
        <v>455</v>
      </c>
      <c r="B177" s="120" t="s">
        <v>34</v>
      </c>
      <c r="C177" s="120"/>
      <c r="D177" s="200">
        <f>C174*C176/12/100</f>
        <v>485.84937499999995</v>
      </c>
      <c r="E177" s="223">
        <f>D177</f>
        <v>485.84937499999995</v>
      </c>
      <c r="F177" s="273"/>
    </row>
    <row r="178" spans="1:6" ht="15.75" x14ac:dyDescent="0.2">
      <c r="A178" s="276" t="s">
        <v>322</v>
      </c>
      <c r="B178" s="277"/>
      <c r="C178" s="277"/>
      <c r="D178" s="278"/>
      <c r="E178" s="224">
        <f>E167+E172+E177</f>
        <v>1093.16109375</v>
      </c>
      <c r="F178" s="273"/>
    </row>
    <row r="179" spans="1:6" ht="15.75" x14ac:dyDescent="0.2">
      <c r="A179" s="275" t="s">
        <v>452</v>
      </c>
      <c r="B179" s="120" t="s">
        <v>9</v>
      </c>
      <c r="C179" s="25">
        <f>C158</f>
        <v>1</v>
      </c>
      <c r="D179" s="181">
        <f>E178</f>
        <v>1093.16109375</v>
      </c>
      <c r="E179" s="224">
        <f>C179*D179</f>
        <v>1093.16109375</v>
      </c>
      <c r="F179" s="273"/>
    </row>
    <row r="180" spans="1:6" ht="16.5" thickBot="1" x14ac:dyDescent="0.25">
      <c r="A180" s="532" t="str">
        <f>F162</f>
        <v>Total (R$)</v>
      </c>
      <c r="B180" s="533"/>
      <c r="C180" s="534"/>
      <c r="D180" s="257" t="s">
        <v>301</v>
      </c>
      <c r="E180" s="350">
        <f>$B$46</f>
        <v>1</v>
      </c>
      <c r="F180" s="211">
        <f>(E179*E180)*1.08</f>
        <v>1180.6139812500001</v>
      </c>
    </row>
    <row r="181" spans="1:6" ht="15.75" x14ac:dyDescent="0.2">
      <c r="A181" s="98"/>
      <c r="B181" s="98"/>
      <c r="C181" s="98"/>
      <c r="D181" s="130"/>
      <c r="E181" s="130"/>
      <c r="F181" s="130"/>
    </row>
    <row r="182" spans="1:6" ht="16.5" thickBot="1" x14ac:dyDescent="0.25">
      <c r="A182" s="220" t="s">
        <v>510</v>
      </c>
      <c r="B182" s="98"/>
      <c r="C182" s="98"/>
      <c r="D182" s="130"/>
      <c r="E182" s="130"/>
      <c r="F182" s="130"/>
    </row>
    <row r="183" spans="1:6" ht="16.5" thickBot="1" x14ac:dyDescent="0.25">
      <c r="A183" s="166" t="s">
        <v>65</v>
      </c>
      <c r="B183" s="167" t="s">
        <v>66</v>
      </c>
      <c r="C183" s="167" t="s">
        <v>41</v>
      </c>
      <c r="D183" s="168" t="s">
        <v>227</v>
      </c>
      <c r="E183" s="168" t="s">
        <v>67</v>
      </c>
      <c r="F183" s="169" t="s">
        <v>300</v>
      </c>
    </row>
    <row r="184" spans="1:6" ht="15.75" x14ac:dyDescent="0.2">
      <c r="A184" s="31" t="s">
        <v>12</v>
      </c>
      <c r="B184" s="25" t="s">
        <v>9</v>
      </c>
      <c r="C184" s="171">
        <f>C179</f>
        <v>1</v>
      </c>
      <c r="D184" s="185">
        <f>(D152+D157)*0.02</f>
        <v>600</v>
      </c>
      <c r="E184" s="173">
        <f>C184*D184</f>
        <v>600</v>
      </c>
      <c r="F184" s="280"/>
    </row>
    <row r="185" spans="1:6" ht="15.75" x14ac:dyDescent="0.2">
      <c r="A185" s="275" t="s">
        <v>13</v>
      </c>
      <c r="B185" s="120" t="s">
        <v>7</v>
      </c>
      <c r="C185" s="120">
        <v>12</v>
      </c>
      <c r="D185" s="181">
        <f>SUM(E184:E184)</f>
        <v>600</v>
      </c>
      <c r="E185" s="181">
        <f>D185/C185</f>
        <v>50</v>
      </c>
      <c r="F185" s="260"/>
    </row>
    <row r="186" spans="1:6" ht="16.5" thickBot="1" x14ac:dyDescent="0.25">
      <c r="A186" s="509" t="str">
        <f>F183</f>
        <v>Total (R$)</v>
      </c>
      <c r="B186" s="510"/>
      <c r="C186" s="511"/>
      <c r="D186" s="257" t="s">
        <v>301</v>
      </c>
      <c r="E186" s="349">
        <f>$B$46</f>
        <v>1</v>
      </c>
      <c r="F186" s="211">
        <f>E185*E186</f>
        <v>50</v>
      </c>
    </row>
    <row r="187" spans="1:6" ht="15.75" x14ac:dyDescent="0.2">
      <c r="A187" s="98"/>
      <c r="B187" s="98"/>
      <c r="C187" s="98"/>
      <c r="D187" s="130"/>
      <c r="E187" s="130"/>
      <c r="F187" s="130"/>
    </row>
    <row r="188" spans="1:6" ht="15.75" x14ac:dyDescent="0.2">
      <c r="A188" s="220" t="s">
        <v>511</v>
      </c>
      <c r="B188" s="201"/>
      <c r="C188" s="98"/>
      <c r="D188" s="130"/>
      <c r="E188" s="130"/>
      <c r="F188" s="130"/>
    </row>
    <row r="189" spans="1:6" ht="16.5" thickBot="1" x14ac:dyDescent="0.25">
      <c r="A189" s="98"/>
      <c r="B189" s="201"/>
      <c r="C189" s="98"/>
      <c r="D189" s="130"/>
      <c r="E189" s="130"/>
      <c r="F189" s="130"/>
    </row>
    <row r="190" spans="1:6" ht="16.5" thickBot="1" x14ac:dyDescent="0.25">
      <c r="A190" s="186" t="s">
        <v>388</v>
      </c>
      <c r="B190" s="225">
        <v>48</v>
      </c>
      <c r="C190" s="98"/>
      <c r="D190" s="130"/>
      <c r="E190" s="130"/>
      <c r="F190" s="130"/>
    </row>
    <row r="191" spans="1:6" ht="16.5" thickBot="1" x14ac:dyDescent="0.25">
      <c r="A191" s="98"/>
      <c r="B191" s="201"/>
      <c r="C191" s="98"/>
      <c r="D191" s="130"/>
      <c r="E191" s="130"/>
      <c r="F191" s="130"/>
    </row>
    <row r="192" spans="1:6" ht="16.5" thickBot="1" x14ac:dyDescent="0.25">
      <c r="A192" s="166" t="s">
        <v>65</v>
      </c>
      <c r="B192" s="167" t="s">
        <v>66</v>
      </c>
      <c r="C192" s="167" t="s">
        <v>389</v>
      </c>
      <c r="D192" s="168" t="s">
        <v>227</v>
      </c>
      <c r="E192" s="168" t="s">
        <v>67</v>
      </c>
      <c r="F192" s="169" t="s">
        <v>300</v>
      </c>
    </row>
    <row r="193" spans="1:6" ht="15.75" x14ac:dyDescent="0.2">
      <c r="A193" s="409" t="s">
        <v>390</v>
      </c>
      <c r="B193" s="410" t="s">
        <v>391</v>
      </c>
      <c r="C193" s="411">
        <v>8</v>
      </c>
      <c r="D193" s="412">
        <v>5.81</v>
      </c>
      <c r="E193" s="413"/>
      <c r="F193" s="259"/>
    </row>
    <row r="194" spans="1:6" ht="15.75" x14ac:dyDescent="0.2">
      <c r="A194" s="31" t="s">
        <v>16</v>
      </c>
      <c r="B194" s="25" t="s">
        <v>392</v>
      </c>
      <c r="C194" s="182">
        <f>SUM(B190)</f>
        <v>48</v>
      </c>
      <c r="D194" s="414">
        <f>IFERROR(+D193*C193,"-")</f>
        <v>46.48</v>
      </c>
      <c r="E194" s="173">
        <f>IFERROR(C194*D194,"-")</f>
        <v>2231.04</v>
      </c>
      <c r="F194" s="260"/>
    </row>
    <row r="195" spans="1:6" ht="15.75" x14ac:dyDescent="0.2">
      <c r="A195" s="31" t="s">
        <v>393</v>
      </c>
      <c r="B195" s="25" t="s">
        <v>394</v>
      </c>
      <c r="C195" s="415">
        <v>6</v>
      </c>
      <c r="D195" s="185">
        <v>17.3</v>
      </c>
      <c r="E195" s="173"/>
      <c r="F195" s="260"/>
    </row>
    <row r="196" spans="1:6" ht="15.75" x14ac:dyDescent="0.2">
      <c r="A196" s="31" t="s">
        <v>19</v>
      </c>
      <c r="B196" s="25" t="s">
        <v>392</v>
      </c>
      <c r="C196" s="182">
        <f>C194</f>
        <v>48</v>
      </c>
      <c r="D196" s="414">
        <f>+C195*D195/1000</f>
        <v>0.10380000000000002</v>
      </c>
      <c r="E196" s="173">
        <f>C196*D196</f>
        <v>4.9824000000000011</v>
      </c>
      <c r="F196" s="260"/>
    </row>
    <row r="197" spans="1:6" ht="15.75" x14ac:dyDescent="0.2">
      <c r="A197" s="31" t="s">
        <v>395</v>
      </c>
      <c r="B197" s="25" t="s">
        <v>394</v>
      </c>
      <c r="C197" s="415">
        <v>12</v>
      </c>
      <c r="D197" s="185">
        <v>18.8</v>
      </c>
      <c r="E197" s="173"/>
      <c r="F197" s="260"/>
    </row>
    <row r="198" spans="1:6" ht="15.75" x14ac:dyDescent="0.2">
      <c r="A198" s="31" t="s">
        <v>20</v>
      </c>
      <c r="B198" s="25" t="s">
        <v>392</v>
      </c>
      <c r="C198" s="182">
        <f>C194</f>
        <v>48</v>
      </c>
      <c r="D198" s="414">
        <f>+C197*D197/1000</f>
        <v>0.22560000000000002</v>
      </c>
      <c r="E198" s="173">
        <f>C198*D198</f>
        <v>10.828800000000001</v>
      </c>
      <c r="F198" s="260"/>
    </row>
    <row r="199" spans="1:6" ht="15.75" x14ac:dyDescent="0.2">
      <c r="A199" s="31" t="s">
        <v>396</v>
      </c>
      <c r="B199" s="25" t="s">
        <v>394</v>
      </c>
      <c r="C199" s="415">
        <v>18</v>
      </c>
      <c r="D199" s="185">
        <v>17.75</v>
      </c>
      <c r="E199" s="173"/>
      <c r="F199" s="260"/>
    </row>
    <row r="200" spans="1:6" ht="15.75" x14ac:dyDescent="0.2">
      <c r="A200" s="31" t="s">
        <v>21</v>
      </c>
      <c r="B200" s="25" t="s">
        <v>392</v>
      </c>
      <c r="C200" s="182">
        <f>C194</f>
        <v>48</v>
      </c>
      <c r="D200" s="414">
        <f>+C199*D199/1000</f>
        <v>0.31950000000000001</v>
      </c>
      <c r="E200" s="173">
        <f>C200*D200</f>
        <v>15.336</v>
      </c>
      <c r="F200" s="260"/>
    </row>
    <row r="201" spans="1:6" ht="15.75" x14ac:dyDescent="0.2">
      <c r="A201" s="31" t="s">
        <v>397</v>
      </c>
      <c r="B201" s="25" t="s">
        <v>398</v>
      </c>
      <c r="C201" s="415">
        <v>4</v>
      </c>
      <c r="D201" s="185">
        <v>16.2</v>
      </c>
      <c r="E201" s="173"/>
      <c r="F201" s="260"/>
    </row>
    <row r="202" spans="1:6" ht="15.75" x14ac:dyDescent="0.2">
      <c r="A202" s="31" t="s">
        <v>24</v>
      </c>
      <c r="B202" s="25" t="s">
        <v>392</v>
      </c>
      <c r="C202" s="182">
        <f>C194</f>
        <v>48</v>
      </c>
      <c r="D202" s="414">
        <f>+C201*D201/1000</f>
        <v>6.4799999999999996E-2</v>
      </c>
      <c r="E202" s="173">
        <f>C202*D202</f>
        <v>3.1103999999999998</v>
      </c>
      <c r="F202" s="260"/>
    </row>
    <row r="203" spans="1:6" ht="15.75" x14ac:dyDescent="0.2">
      <c r="A203" s="275" t="s">
        <v>399</v>
      </c>
      <c r="B203" s="120" t="s">
        <v>400</v>
      </c>
      <c r="C203" s="203"/>
      <c r="D203" s="204">
        <f>IFERROR(D194+D196+D198+D200+D202,0)</f>
        <v>47.193699999999993</v>
      </c>
      <c r="E203" s="173"/>
      <c r="F203" s="260"/>
    </row>
    <row r="204" spans="1:6" ht="16.5" thickBot="1" x14ac:dyDescent="0.25">
      <c r="A204" s="509" t="str">
        <f>F192</f>
        <v>Total (R$)</v>
      </c>
      <c r="B204" s="497"/>
      <c r="C204" s="497"/>
      <c r="D204" s="497"/>
      <c r="E204" s="498"/>
      <c r="F204" s="211">
        <f>SUM(E193:E202)</f>
        <v>2265.2975999999999</v>
      </c>
    </row>
    <row r="205" spans="1:6" ht="15.75" x14ac:dyDescent="0.2">
      <c r="A205" s="98"/>
      <c r="B205" s="98"/>
      <c r="C205" s="98"/>
      <c r="D205" s="130"/>
      <c r="E205" s="130"/>
      <c r="F205" s="130"/>
    </row>
    <row r="206" spans="1:6" ht="16.5" thickBot="1" x14ac:dyDescent="0.25">
      <c r="A206" s="220" t="s">
        <v>512</v>
      </c>
      <c r="B206" s="98"/>
      <c r="C206" s="98"/>
      <c r="D206" s="130"/>
      <c r="E206" s="130"/>
      <c r="F206" s="130"/>
    </row>
    <row r="207" spans="1:6" ht="16.5" thickBot="1" x14ac:dyDescent="0.25">
      <c r="A207" s="166" t="s">
        <v>65</v>
      </c>
      <c r="B207" s="167" t="s">
        <v>66</v>
      </c>
      <c r="C207" s="167" t="s">
        <v>41</v>
      </c>
      <c r="D207" s="168" t="s">
        <v>227</v>
      </c>
      <c r="E207" s="168" t="s">
        <v>67</v>
      </c>
      <c r="F207" s="169" t="s">
        <v>300</v>
      </c>
    </row>
    <row r="208" spans="1:6" ht="15.75" x14ac:dyDescent="0.2">
      <c r="A208" s="251" t="s">
        <v>331</v>
      </c>
      <c r="B208" s="37" t="s">
        <v>118</v>
      </c>
      <c r="C208" s="182">
        <f>C194</f>
        <v>48</v>
      </c>
      <c r="D208" s="170">
        <v>1.2202299999999999</v>
      </c>
      <c r="E208" s="215">
        <f>C208*D208</f>
        <v>58.571039999999996</v>
      </c>
      <c r="F208" s="259"/>
    </row>
    <row r="209" spans="1:6" ht="16.5" thickBot="1" x14ac:dyDescent="0.25">
      <c r="A209" s="509" t="str">
        <f>F207</f>
        <v>Total (R$)</v>
      </c>
      <c r="B209" s="510"/>
      <c r="C209" s="510"/>
      <c r="D209" s="510"/>
      <c r="E209" s="511"/>
      <c r="F209" s="211">
        <f>E208</f>
        <v>58.571039999999996</v>
      </c>
    </row>
    <row r="211" spans="1:6" ht="16.5" thickBot="1" x14ac:dyDescent="0.25">
      <c r="A211" s="220" t="s">
        <v>513</v>
      </c>
      <c r="B211" s="98"/>
      <c r="C211" s="98"/>
      <c r="D211" s="130"/>
      <c r="E211" s="130"/>
      <c r="F211" s="130"/>
    </row>
    <row r="212" spans="1:6" ht="16.5" thickBot="1" x14ac:dyDescent="0.25">
      <c r="A212" s="166" t="s">
        <v>65</v>
      </c>
      <c r="B212" s="167" t="s">
        <v>66</v>
      </c>
      <c r="C212" s="167" t="s">
        <v>41</v>
      </c>
      <c r="D212" s="168" t="s">
        <v>227</v>
      </c>
      <c r="E212" s="168" t="s">
        <v>67</v>
      </c>
      <c r="F212" s="169" t="s">
        <v>300</v>
      </c>
    </row>
    <row r="213" spans="1:6" ht="15.75" x14ac:dyDescent="0.2">
      <c r="A213" s="251" t="s">
        <v>490</v>
      </c>
      <c r="B213" s="37" t="s">
        <v>9</v>
      </c>
      <c r="C213" s="205">
        <v>2</v>
      </c>
      <c r="D213" s="170">
        <v>1850</v>
      </c>
      <c r="E213" s="215">
        <f>C213*D213</f>
        <v>3700</v>
      </c>
      <c r="F213" s="259"/>
    </row>
    <row r="214" spans="1:6" ht="15.75" x14ac:dyDescent="0.2">
      <c r="A214" s="251" t="s">
        <v>491</v>
      </c>
      <c r="B214" s="37" t="s">
        <v>9</v>
      </c>
      <c r="C214" s="205">
        <v>2</v>
      </c>
      <c r="D214" s="170">
        <v>1850</v>
      </c>
      <c r="E214" s="215">
        <f>C214*D214</f>
        <v>3700</v>
      </c>
      <c r="F214" s="260"/>
    </row>
    <row r="215" spans="1:6" ht="15.75" x14ac:dyDescent="0.2">
      <c r="A215" s="251" t="s">
        <v>119</v>
      </c>
      <c r="B215" s="37" t="s">
        <v>9</v>
      </c>
      <c r="C215" s="205">
        <v>1</v>
      </c>
      <c r="D215" s="206"/>
      <c r="E215" s="215"/>
      <c r="F215" s="260"/>
    </row>
    <row r="216" spans="1:6" ht="15.75" x14ac:dyDescent="0.2">
      <c r="A216" s="251" t="s">
        <v>492</v>
      </c>
      <c r="B216" s="37" t="s">
        <v>9</v>
      </c>
      <c r="C216" s="171">
        <v>1</v>
      </c>
      <c r="D216" s="170">
        <v>950</v>
      </c>
      <c r="E216" s="215">
        <f>C216*D216</f>
        <v>950</v>
      </c>
      <c r="F216" s="260"/>
    </row>
    <row r="217" spans="1:6" ht="15.75" x14ac:dyDescent="0.2">
      <c r="A217" s="251" t="s">
        <v>493</v>
      </c>
      <c r="B217" s="37" t="s">
        <v>9</v>
      </c>
      <c r="C217" s="171">
        <v>1</v>
      </c>
      <c r="D217" s="170">
        <v>950</v>
      </c>
      <c r="E217" s="215">
        <f>C217*D217</f>
        <v>950</v>
      </c>
      <c r="F217" s="260"/>
    </row>
    <row r="218" spans="1:6" ht="15.75" x14ac:dyDescent="0.2">
      <c r="A218" s="31" t="s">
        <v>401</v>
      </c>
      <c r="B218" s="25" t="s">
        <v>402</v>
      </c>
      <c r="C218" s="207">
        <v>20000</v>
      </c>
      <c r="D218" s="173">
        <f>E213+E214+E216+E217</f>
        <v>9300</v>
      </c>
      <c r="E218" s="214">
        <f>IFERROR(D218/C218,"-")</f>
        <v>0.46500000000000002</v>
      </c>
      <c r="F218" s="260"/>
    </row>
    <row r="219" spans="1:6" ht="15.75" x14ac:dyDescent="0.2">
      <c r="A219" s="31" t="s">
        <v>56</v>
      </c>
      <c r="B219" s="25" t="s">
        <v>402</v>
      </c>
      <c r="C219" s="182">
        <f>B190</f>
        <v>48</v>
      </c>
      <c r="D219" s="173">
        <f>E218</f>
        <v>0.46500000000000002</v>
      </c>
      <c r="E219" s="214">
        <f>IFERROR(C219*D219,0)</f>
        <v>22.32</v>
      </c>
      <c r="F219" s="260"/>
    </row>
    <row r="220" spans="1:6" ht="16.5" thickBot="1" x14ac:dyDescent="0.25">
      <c r="A220" s="509" t="str">
        <f>F212</f>
        <v>Total (R$)</v>
      </c>
      <c r="B220" s="510"/>
      <c r="C220" s="510"/>
      <c r="D220" s="510"/>
      <c r="E220" s="511"/>
      <c r="F220" s="211">
        <f>E219</f>
        <v>22.32</v>
      </c>
    </row>
    <row r="221" spans="1:6" ht="15.75" x14ac:dyDescent="0.2">
      <c r="A221" s="98"/>
      <c r="B221" s="98"/>
      <c r="C221" s="98"/>
      <c r="D221" s="130"/>
      <c r="E221" s="130"/>
      <c r="F221" s="130"/>
    </row>
    <row r="222" spans="1:6" ht="16.5" thickBot="1" x14ac:dyDescent="0.25">
      <c r="A222" s="98"/>
      <c r="B222" s="98"/>
      <c r="C222" s="98"/>
      <c r="D222" s="130"/>
      <c r="E222" s="130"/>
      <c r="F222" s="130"/>
    </row>
    <row r="223" spans="1:6" ht="16.5" thickBot="1" x14ac:dyDescent="0.25">
      <c r="A223" s="217" t="s">
        <v>219</v>
      </c>
      <c r="B223" s="218"/>
      <c r="C223" s="218"/>
      <c r="D223" s="156"/>
      <c r="E223" s="156"/>
      <c r="F223" s="213">
        <f>+SUM(F159,F180,F186,F204,F209,F220)</f>
        <v>4773.5074212499994</v>
      </c>
    </row>
    <row r="224" spans="1:6" ht="15.75" x14ac:dyDescent="0.2">
      <c r="A224" s="98"/>
      <c r="B224" s="98"/>
      <c r="C224" s="98"/>
      <c r="D224" s="130"/>
      <c r="E224" s="130"/>
      <c r="F224" s="130"/>
    </row>
    <row r="225" spans="1:6" ht="15.75" x14ac:dyDescent="0.2">
      <c r="A225" s="107" t="s">
        <v>75</v>
      </c>
      <c r="B225" s="107"/>
      <c r="C225" s="107"/>
      <c r="D225" s="128"/>
      <c r="E225" s="128"/>
      <c r="F225" s="208"/>
    </row>
    <row r="226" spans="1:6" ht="16.5" thickBot="1" x14ac:dyDescent="0.25">
      <c r="A226" s="98"/>
      <c r="B226" s="98"/>
      <c r="C226" s="98"/>
      <c r="D226" s="130"/>
      <c r="E226" s="130"/>
      <c r="F226" s="130"/>
    </row>
    <row r="227" spans="1:6" ht="16.5" thickBot="1" x14ac:dyDescent="0.25">
      <c r="A227" s="166" t="s">
        <v>65</v>
      </c>
      <c r="B227" s="167" t="s">
        <v>66</v>
      </c>
      <c r="C227" s="167" t="s">
        <v>41</v>
      </c>
      <c r="D227" s="168" t="s">
        <v>227</v>
      </c>
      <c r="E227" s="168" t="s">
        <v>67</v>
      </c>
      <c r="F227" s="169" t="s">
        <v>300</v>
      </c>
    </row>
    <row r="228" spans="1:6" ht="15.75" x14ac:dyDescent="0.2">
      <c r="A228" s="31" t="s">
        <v>73</v>
      </c>
      <c r="B228" s="25" t="s">
        <v>9</v>
      </c>
      <c r="C228" s="191">
        <v>2</v>
      </c>
      <c r="D228" s="170">
        <v>26.4</v>
      </c>
      <c r="E228" s="214">
        <f>C228*D228/12</f>
        <v>4.3999999999999995</v>
      </c>
      <c r="F228" s="279"/>
    </row>
    <row r="229" spans="1:6" ht="15.75" x14ac:dyDescent="0.2">
      <c r="A229" s="31" t="s">
        <v>27</v>
      </c>
      <c r="B229" s="25" t="s">
        <v>9</v>
      </c>
      <c r="C229" s="191">
        <v>4</v>
      </c>
      <c r="D229" s="170">
        <v>21.9</v>
      </c>
      <c r="E229" s="214">
        <f t="shared" ref="E229:E230" si="6">C229*D229/12</f>
        <v>7.3</v>
      </c>
      <c r="F229" s="273"/>
    </row>
    <row r="230" spans="1:6" ht="15.75" x14ac:dyDescent="0.2">
      <c r="A230" s="31" t="s">
        <v>28</v>
      </c>
      <c r="B230" s="25" t="s">
        <v>9</v>
      </c>
      <c r="C230" s="191">
        <v>6</v>
      </c>
      <c r="D230" s="170">
        <v>24.9</v>
      </c>
      <c r="E230" s="214">
        <f t="shared" si="6"/>
        <v>12.449999999999998</v>
      </c>
      <c r="F230" s="273"/>
    </row>
    <row r="231" spans="1:6" ht="16.5" thickBot="1" x14ac:dyDescent="0.25">
      <c r="A231" s="509">
        <f>F226</f>
        <v>0</v>
      </c>
      <c r="B231" s="510"/>
      <c r="C231" s="511"/>
      <c r="D231" s="257" t="s">
        <v>301</v>
      </c>
      <c r="E231" s="350">
        <f>$B$46</f>
        <v>1</v>
      </c>
      <c r="F231" s="268">
        <f>(E228+E230+E229)*E231</f>
        <v>24.15</v>
      </c>
    </row>
    <row r="232" spans="1:6" ht="16.5" thickBot="1" x14ac:dyDescent="0.25">
      <c r="A232" s="98"/>
      <c r="B232" s="98"/>
      <c r="C232" s="98"/>
      <c r="D232" s="130"/>
      <c r="E232" s="130"/>
      <c r="F232" s="130"/>
    </row>
    <row r="233" spans="1:6" ht="16.5" thickBot="1" x14ac:dyDescent="0.25">
      <c r="A233" s="528" t="s">
        <v>220</v>
      </c>
      <c r="B233" s="529"/>
      <c r="C233" s="529"/>
      <c r="D233" s="529"/>
      <c r="E233" s="529"/>
      <c r="F233" s="178">
        <f>+F231</f>
        <v>24.15</v>
      </c>
    </row>
    <row r="234" spans="1:6" ht="15.75" x14ac:dyDescent="0.2">
      <c r="A234" s="98"/>
      <c r="B234" s="98"/>
      <c r="C234" s="98"/>
      <c r="D234" s="130"/>
      <c r="E234" s="130"/>
      <c r="F234" s="130"/>
    </row>
    <row r="235" spans="1:6" ht="15.75" x14ac:dyDescent="0.2">
      <c r="A235" s="107" t="s">
        <v>76</v>
      </c>
      <c r="B235" s="107"/>
      <c r="C235" s="107"/>
      <c r="D235" s="128"/>
      <c r="E235" s="128"/>
      <c r="F235" s="208"/>
    </row>
    <row r="236" spans="1:6" ht="16.5" thickBot="1" x14ac:dyDescent="0.25">
      <c r="A236" s="98"/>
      <c r="B236" s="98"/>
      <c r="C236" s="98"/>
      <c r="D236" s="130"/>
      <c r="E236" s="130"/>
      <c r="F236" s="130"/>
    </row>
    <row r="237" spans="1:6" ht="16.5" thickBot="1" x14ac:dyDescent="0.25">
      <c r="A237" s="166" t="s">
        <v>65</v>
      </c>
      <c r="B237" s="167" t="s">
        <v>66</v>
      </c>
      <c r="C237" s="167" t="s">
        <v>41</v>
      </c>
      <c r="D237" s="168" t="s">
        <v>227</v>
      </c>
      <c r="E237" s="168" t="s">
        <v>67</v>
      </c>
      <c r="F237" s="169" t="s">
        <v>300</v>
      </c>
    </row>
    <row r="238" spans="1:6" ht="15.75" x14ac:dyDescent="0.2">
      <c r="A238" s="31" t="s">
        <v>217</v>
      </c>
      <c r="B238" s="25" t="s">
        <v>59</v>
      </c>
      <c r="C238" s="192">
        <v>1</v>
      </c>
      <c r="D238" s="185">
        <v>250</v>
      </c>
      <c r="E238" s="173">
        <f>+D238*C238</f>
        <v>250</v>
      </c>
      <c r="F238" s="279"/>
    </row>
    <row r="239" spans="1:6" ht="15.75" x14ac:dyDescent="0.2">
      <c r="A239" s="31" t="s">
        <v>62</v>
      </c>
      <c r="B239" s="25" t="s">
        <v>7</v>
      </c>
      <c r="C239" s="25">
        <v>60</v>
      </c>
      <c r="D239" s="173">
        <f>SUM(E238:E238)</f>
        <v>250</v>
      </c>
      <c r="E239" s="173">
        <f>+D239/C239</f>
        <v>4.166666666666667</v>
      </c>
      <c r="F239" s="273"/>
    </row>
    <row r="240" spans="1:6" ht="15.75" x14ac:dyDescent="0.2">
      <c r="A240" s="31" t="s">
        <v>218</v>
      </c>
      <c r="B240" s="25" t="s">
        <v>9</v>
      </c>
      <c r="C240" s="192">
        <f>+C238</f>
        <v>1</v>
      </c>
      <c r="D240" s="185">
        <v>75</v>
      </c>
      <c r="E240" s="173">
        <f>C240*D240</f>
        <v>75</v>
      </c>
      <c r="F240" s="273"/>
    </row>
    <row r="241" spans="1:6" ht="15.75" x14ac:dyDescent="0.2">
      <c r="A241" s="31" t="s">
        <v>38</v>
      </c>
      <c r="B241" s="25" t="s">
        <v>7</v>
      </c>
      <c r="C241" s="25">
        <v>1</v>
      </c>
      <c r="D241" s="173">
        <f>+E240</f>
        <v>75</v>
      </c>
      <c r="E241" s="173">
        <f>+D241/C241</f>
        <v>75</v>
      </c>
      <c r="F241" s="273"/>
    </row>
    <row r="242" spans="1:6" ht="16.5" thickBot="1" x14ac:dyDescent="0.25">
      <c r="A242" s="509" t="str">
        <f>F237</f>
        <v>Total (R$)</v>
      </c>
      <c r="B242" s="510"/>
      <c r="C242" s="511"/>
      <c r="D242" s="257" t="s">
        <v>301</v>
      </c>
      <c r="E242" s="350">
        <f>$B$46</f>
        <v>1</v>
      </c>
      <c r="F242" s="268">
        <f>(E239+E241)*E242</f>
        <v>79.166666666666671</v>
      </c>
    </row>
    <row r="243" spans="1:6" ht="16.5" thickBot="1" x14ac:dyDescent="0.25">
      <c r="A243" s="98"/>
      <c r="B243" s="98"/>
      <c r="C243" s="98"/>
      <c r="D243" s="130"/>
      <c r="E243" s="130"/>
      <c r="F243" s="130"/>
    </row>
    <row r="244" spans="1:6" ht="16.5" thickBot="1" x14ac:dyDescent="0.25">
      <c r="A244" s="528" t="s">
        <v>216</v>
      </c>
      <c r="B244" s="529"/>
      <c r="C244" s="529"/>
      <c r="D244" s="529"/>
      <c r="E244" s="529"/>
      <c r="F244" s="178">
        <f>+F242</f>
        <v>79.166666666666671</v>
      </c>
    </row>
    <row r="245" spans="1:6" ht="16.5" thickBot="1" x14ac:dyDescent="0.25">
      <c r="A245" s="98"/>
      <c r="B245" s="98"/>
      <c r="C245" s="98"/>
      <c r="D245" s="130"/>
      <c r="E245" s="130"/>
      <c r="F245" s="130"/>
    </row>
    <row r="246" spans="1:6" ht="16.5" thickBot="1" x14ac:dyDescent="0.25">
      <c r="A246" s="528" t="s">
        <v>221</v>
      </c>
      <c r="B246" s="529"/>
      <c r="C246" s="529"/>
      <c r="D246" s="529"/>
      <c r="E246" s="529"/>
      <c r="F246" s="300">
        <f>+F100+F134+F223+F233+F244</f>
        <v>28498.038292190049</v>
      </c>
    </row>
    <row r="247" spans="1:6" ht="15.75" x14ac:dyDescent="0.2">
      <c r="A247" s="98"/>
      <c r="B247" s="98"/>
      <c r="C247" s="98"/>
      <c r="D247" s="130"/>
      <c r="E247" s="130"/>
      <c r="F247" s="130"/>
    </row>
    <row r="248" spans="1:6" ht="15.75" x14ac:dyDescent="0.2">
      <c r="A248" s="107" t="s">
        <v>90</v>
      </c>
      <c r="B248" s="98"/>
      <c r="C248" s="98"/>
      <c r="D248" s="130"/>
      <c r="E248" s="130"/>
      <c r="F248" s="130"/>
    </row>
    <row r="249" spans="1:6" ht="16.5" thickBot="1" x14ac:dyDescent="0.25">
      <c r="A249" s="98"/>
      <c r="B249" s="98"/>
      <c r="C249" s="98"/>
      <c r="D249" s="130"/>
      <c r="E249" s="130"/>
      <c r="F249" s="130"/>
    </row>
    <row r="250" spans="1:6" ht="16.5" thickBot="1" x14ac:dyDescent="0.25">
      <c r="A250" s="166" t="s">
        <v>65</v>
      </c>
      <c r="B250" s="167" t="s">
        <v>66</v>
      </c>
      <c r="C250" s="167" t="s">
        <v>41</v>
      </c>
      <c r="D250" s="168" t="s">
        <v>227</v>
      </c>
      <c r="E250" s="168" t="s">
        <v>67</v>
      </c>
      <c r="F250" s="169" t="s">
        <v>300</v>
      </c>
    </row>
    <row r="251" spans="1:6" ht="15.75" x14ac:dyDescent="0.2">
      <c r="A251" s="251" t="s">
        <v>37</v>
      </c>
      <c r="B251" s="37" t="s">
        <v>2</v>
      </c>
      <c r="C251" s="416">
        <f>SUM('4.BDI'!B14:C14)</f>
        <v>0.21820000000000001</v>
      </c>
      <c r="D251" s="171">
        <f>+F246</f>
        <v>28498.038292190049</v>
      </c>
      <c r="E251" s="215">
        <f>C251*D251</f>
        <v>6218.2719553558691</v>
      </c>
      <c r="F251" s="259"/>
    </row>
    <row r="252" spans="1:6" ht="16.5" thickBot="1" x14ac:dyDescent="0.25">
      <c r="A252" s="509" t="str">
        <f>F250</f>
        <v>Total (R$)</v>
      </c>
      <c r="B252" s="510"/>
      <c r="C252" s="510"/>
      <c r="D252" s="510"/>
      <c r="E252" s="511"/>
      <c r="F252" s="268">
        <f>+E251</f>
        <v>6218.2719553558691</v>
      </c>
    </row>
    <row r="253" spans="1:6" ht="16.5" thickBot="1" x14ac:dyDescent="0.25">
      <c r="A253" s="98"/>
      <c r="B253" s="98"/>
      <c r="C253" s="98"/>
      <c r="D253" s="130"/>
      <c r="E253" s="130"/>
      <c r="F253" s="130"/>
    </row>
    <row r="254" spans="1:6" ht="16.5" thickBot="1" x14ac:dyDescent="0.25">
      <c r="A254" s="528" t="s">
        <v>232</v>
      </c>
      <c r="B254" s="529"/>
      <c r="C254" s="529"/>
      <c r="D254" s="529"/>
      <c r="E254" s="529"/>
      <c r="F254" s="300">
        <f>F252</f>
        <v>6218.2719553558691</v>
      </c>
    </row>
    <row r="255" spans="1:6" ht="15.75" x14ac:dyDescent="0.2">
      <c r="A255" s="107"/>
      <c r="B255" s="107"/>
      <c r="C255" s="107"/>
      <c r="D255" s="128"/>
      <c r="E255" s="128"/>
      <c r="F255" s="208"/>
    </row>
    <row r="256" spans="1:6" ht="16.5" thickBot="1" x14ac:dyDescent="0.25">
      <c r="A256" s="98"/>
      <c r="B256" s="98"/>
      <c r="C256" s="98"/>
      <c r="D256" s="130"/>
      <c r="E256" s="130"/>
      <c r="F256" s="130"/>
    </row>
    <row r="257" spans="1:6" ht="16.5" thickBot="1" x14ac:dyDescent="0.25">
      <c r="A257" s="217" t="s">
        <v>222</v>
      </c>
      <c r="B257" s="271"/>
      <c r="C257" s="271"/>
      <c r="D257" s="272"/>
      <c r="E257" s="272"/>
      <c r="F257" s="300">
        <f>F246+F254</f>
        <v>34716.310247545916</v>
      </c>
    </row>
    <row r="258" spans="1:6" ht="15.75" x14ac:dyDescent="0.2">
      <c r="A258" s="107"/>
      <c r="B258" s="107"/>
      <c r="C258" s="107"/>
      <c r="D258" s="128"/>
      <c r="E258" s="128"/>
      <c r="F258" s="128"/>
    </row>
    <row r="259" spans="1:6" ht="15.75" x14ac:dyDescent="0.2">
      <c r="A259" s="107"/>
      <c r="B259" s="107"/>
      <c r="C259" s="107"/>
      <c r="D259" s="128"/>
      <c r="E259" s="128"/>
      <c r="F259" s="208"/>
    </row>
    <row r="260" spans="1:6" ht="15.75" x14ac:dyDescent="0.2">
      <c r="A260" s="98"/>
      <c r="B260" s="98"/>
      <c r="C260" s="98"/>
      <c r="D260" s="130"/>
      <c r="E260" s="130"/>
      <c r="F260" s="130"/>
    </row>
    <row r="261" spans="1:6" ht="16.5" thickBot="1" x14ac:dyDescent="0.25">
      <c r="A261" s="98"/>
      <c r="B261" s="98"/>
      <c r="C261" s="98"/>
      <c r="D261" s="130"/>
      <c r="E261" s="130"/>
      <c r="F261" s="130"/>
    </row>
    <row r="262" spans="1:6" ht="16.5" thickBot="1" x14ac:dyDescent="0.25">
      <c r="A262" s="186" t="s">
        <v>403</v>
      </c>
      <c r="B262" s="187"/>
      <c r="C262" s="187"/>
      <c r="D262" s="417">
        <v>340</v>
      </c>
      <c r="E262" s="189" t="s">
        <v>26</v>
      </c>
      <c r="F262" s="130"/>
    </row>
    <row r="263" spans="1:6" ht="16.5" thickBot="1" x14ac:dyDescent="0.25">
      <c r="A263" s="98"/>
      <c r="B263" s="98"/>
      <c r="C263" s="98"/>
      <c r="D263" s="130"/>
      <c r="E263" s="130"/>
      <c r="F263" s="130"/>
    </row>
    <row r="264" spans="1:6" ht="16.5" thickBot="1" x14ac:dyDescent="0.25">
      <c r="A264" s="186" t="s">
        <v>404</v>
      </c>
      <c r="B264" s="187"/>
      <c r="C264" s="187"/>
      <c r="D264" s="188"/>
      <c r="E264" s="301" t="s">
        <v>33</v>
      </c>
      <c r="F264" s="288">
        <f>IFERROR(F257/D262,"-")</f>
        <v>102.10679484572329</v>
      </c>
    </row>
  </sheetData>
  <mergeCells count="58">
    <mergeCell ref="A231:C231"/>
    <mergeCell ref="A242:C242"/>
    <mergeCell ref="A244:E244"/>
    <mergeCell ref="A246:E246"/>
    <mergeCell ref="A252:E252"/>
    <mergeCell ref="A254:E254"/>
    <mergeCell ref="A233:E233"/>
    <mergeCell ref="A7:F7"/>
    <mergeCell ref="A186:C186"/>
    <mergeCell ref="A204:E204"/>
    <mergeCell ref="A209:E209"/>
    <mergeCell ref="A220:E220"/>
    <mergeCell ref="A119:C119"/>
    <mergeCell ref="A121:F121"/>
    <mergeCell ref="A122:F122"/>
    <mergeCell ref="A132:C132"/>
    <mergeCell ref="A159:C159"/>
    <mergeCell ref="A180:C180"/>
    <mergeCell ref="A98:C98"/>
    <mergeCell ref="A101:F101"/>
    <mergeCell ref="A102:F102"/>
    <mergeCell ref="A103:F103"/>
    <mergeCell ref="A104:F104"/>
    <mergeCell ref="A105:F105"/>
    <mergeCell ref="A87:E87"/>
    <mergeCell ref="A88:F88"/>
    <mergeCell ref="A89:F89"/>
    <mergeCell ref="A93:E93"/>
    <mergeCell ref="A94:F94"/>
    <mergeCell ref="A95:F95"/>
    <mergeCell ref="A81:F81"/>
    <mergeCell ref="A52:F52"/>
    <mergeCell ref="A60:D60"/>
    <mergeCell ref="A62:D62"/>
    <mergeCell ref="A64:C64"/>
    <mergeCell ref="A65:F65"/>
    <mergeCell ref="A66:F66"/>
    <mergeCell ref="A74:D74"/>
    <mergeCell ref="A76:D76"/>
    <mergeCell ref="A78:C78"/>
    <mergeCell ref="A79:F79"/>
    <mergeCell ref="A80:F80"/>
    <mergeCell ref="A51:F51"/>
    <mergeCell ref="A8:F8"/>
    <mergeCell ref="A16:C16"/>
    <mergeCell ref="A31:E31"/>
    <mergeCell ref="A32:D32"/>
    <mergeCell ref="A37:D37"/>
    <mergeCell ref="A40:D40"/>
    <mergeCell ref="A47:F47"/>
    <mergeCell ref="A48:F48"/>
    <mergeCell ref="A50:F50"/>
    <mergeCell ref="A6:F6"/>
    <mergeCell ref="A1:F1"/>
    <mergeCell ref="A2:F2"/>
    <mergeCell ref="A3:F3"/>
    <mergeCell ref="A4:F4"/>
    <mergeCell ref="A5:F5"/>
  </mergeCells>
  <hyperlinks>
    <hyperlink ref="A161" location="AbaRemun" display="3.1.2. Remuneração do Capital" xr:uid="{660FBC4C-34C5-41E8-A10C-ECAB0ED5E241}"/>
    <hyperlink ref="A140" location="AbaDeprec" display="3.1.1. Depreciação" xr:uid="{FCA8ED0F-C56B-490A-848A-F6DC1C573048}"/>
  </hyperlinks>
  <pageMargins left="0.511811024" right="0.511811024" top="0.78740157499999996" bottom="0.78740157499999996" header="0.31496062000000002" footer="0.31496062000000002"/>
  <pageSetup paperSize="9" scale="6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1282-89B7-4A4F-8E41-95C2669BB2BE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Orçamento</vt:lpstr>
      <vt:lpstr>Cronograma</vt:lpstr>
      <vt:lpstr>1.1.Coletadomiciliarurbana not</vt:lpstr>
      <vt:lpstr>1.2.Coletadomiciliarurbana diur</vt:lpstr>
      <vt:lpstr>1.3.Coletadomiciliarurbana mat</vt:lpstr>
      <vt:lpstr>1.4.Coletadomiciliarrural matu</vt:lpstr>
      <vt:lpstr>1.5.Estação de transbordo</vt:lpstr>
      <vt:lpstr>1.6.Central Triagem </vt:lpstr>
      <vt:lpstr>Planilha3</vt:lpstr>
      <vt:lpstr>Planilha4</vt:lpstr>
      <vt:lpstr>1.7.Destino final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Media toneladas coletadas</vt:lpstr>
      <vt:lpstr>Media Km Executados</vt:lpstr>
      <vt:lpstr>AbaDeprec</vt:lpstr>
      <vt:lpstr>AbaRemun</vt:lpstr>
      <vt:lpstr>'1.1.Coletadomiciliarurbana not'!Area_de_impressao</vt:lpstr>
      <vt:lpstr>'1.4.Coletadomiciliarrural matu'!Area_de_impressao</vt:lpstr>
      <vt:lpstr>'1.5.Estação de transbordo'!Area_de_impressao</vt:lpstr>
      <vt:lpstr>'1.7.Destino final'!Area_de_impressao</vt:lpstr>
      <vt:lpstr>'2.Encargos Sociais'!Area_de_impressao</vt:lpstr>
      <vt:lpstr>Cronograma!Area_de_impressao</vt:lpstr>
      <vt:lpstr>Orçamento!Area_de_impressao</vt:lpstr>
      <vt:lpstr>'1.1.Coletadomiciliarurbana not'!Titulos_de_impressao</vt:lpstr>
      <vt:lpstr>'1.4.Coletadomiciliarrural matu'!Titulos_de_impressao</vt:lpstr>
      <vt:lpstr>'1.5.Estação de transbordo'!Titulos_de_impressao</vt:lpstr>
      <vt:lpstr>'1.7.Destino final'!Titulos_de_impressao</vt:lpstr>
      <vt:lpstr>Cronograma!Titulos_de_impressao</vt:lpstr>
      <vt:lpstr>Orçamento!Titulos_de_impressao</vt:lpstr>
    </vt:vector>
  </TitlesOfParts>
  <Company>PM Arroio do Meio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Nívia Fuchs</dc:creator>
  <cp:lastModifiedBy>Edson Hendges</cp:lastModifiedBy>
  <cp:lastPrinted>2023-08-30T16:49:16Z</cp:lastPrinted>
  <dcterms:created xsi:type="dcterms:W3CDTF">2000-12-13T10:02:50Z</dcterms:created>
  <dcterms:modified xsi:type="dcterms:W3CDTF">2023-08-30T16:55:27Z</dcterms:modified>
</cp:coreProperties>
</file>